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/>
  </bookViews>
  <sheets>
    <sheet name="Runway design" sheetId="1" r:id="rId1"/>
    <sheet name="McIver" sheetId="2" r:id="rId2"/>
  </sheets>
  <calcPr calcId="145621" iterate="1"/>
</workbook>
</file>

<file path=xl/calcChain.xml><?xml version="1.0" encoding="utf-8"?>
<calcChain xmlns="http://schemas.openxmlformats.org/spreadsheetml/2006/main">
  <c r="Q5" i="1" l="1"/>
  <c r="R6" i="1"/>
  <c r="R7" i="1"/>
  <c r="R8" i="1"/>
  <c r="R9" i="1"/>
  <c r="R10" i="1"/>
  <c r="R11" i="1"/>
  <c r="R12" i="1"/>
  <c r="R13" i="1"/>
  <c r="R14" i="1"/>
  <c r="R15" i="1"/>
  <c r="R16" i="1"/>
  <c r="R5" i="1"/>
  <c r="X9" i="1"/>
  <c r="Q62" i="1" l="1"/>
  <c r="Q60" i="1"/>
  <c r="Q61" i="1"/>
  <c r="Q59" i="1"/>
  <c r="Q57" i="1"/>
  <c r="Q58" i="1"/>
  <c r="Q56" i="1"/>
  <c r="Q55" i="1"/>
  <c r="N13" i="2" l="1"/>
  <c r="O13" i="2" s="1"/>
  <c r="M13" i="2"/>
  <c r="C13" i="2"/>
  <c r="N12" i="2"/>
  <c r="O12" i="2" s="1"/>
  <c r="M12" i="2"/>
  <c r="C12" i="2"/>
  <c r="A12" i="2"/>
  <c r="N11" i="2"/>
  <c r="O11" i="2" s="1"/>
  <c r="M11" i="2"/>
  <c r="C11" i="2"/>
  <c r="N10" i="2"/>
  <c r="O10" i="2" s="1"/>
  <c r="M10" i="2"/>
  <c r="C10" i="2"/>
  <c r="O9" i="2"/>
  <c r="Q9" i="2" s="1"/>
  <c r="N9" i="2"/>
  <c r="M9" i="2"/>
  <c r="C9" i="2"/>
  <c r="N8" i="2"/>
  <c r="O8" i="2" s="1"/>
  <c r="M8" i="2"/>
  <c r="C8" i="2"/>
  <c r="N7" i="2"/>
  <c r="O7" i="2" s="1"/>
  <c r="M7" i="2"/>
  <c r="C7" i="2"/>
  <c r="N6" i="2"/>
  <c r="O6" i="2" s="1"/>
  <c r="M6" i="2"/>
  <c r="C6" i="2"/>
  <c r="O5" i="2"/>
  <c r="Q5" i="2" s="1"/>
  <c r="N5" i="2"/>
  <c r="M5" i="2"/>
  <c r="C5" i="2"/>
  <c r="N4" i="2"/>
  <c r="O4" i="2" s="1"/>
  <c r="M4" i="2"/>
  <c r="C4" i="2"/>
  <c r="N3" i="2"/>
  <c r="O3" i="2" s="1"/>
  <c r="M3" i="2"/>
  <c r="C3" i="2"/>
  <c r="N2" i="2"/>
  <c r="O2" i="2" s="1"/>
  <c r="M2" i="2"/>
  <c r="C2" i="2"/>
  <c r="P10" i="2" l="1"/>
  <c r="Q10" i="2"/>
  <c r="Q3" i="2"/>
  <c r="P3" i="2"/>
  <c r="Q8" i="2"/>
  <c r="P8" i="2"/>
  <c r="Q13" i="2"/>
  <c r="P13" i="2"/>
  <c r="P6" i="2"/>
  <c r="Q6" i="2"/>
  <c r="Q11" i="2"/>
  <c r="P11" i="2"/>
  <c r="Q4" i="2"/>
  <c r="P4" i="2"/>
  <c r="P2" i="2"/>
  <c r="Q2" i="2"/>
  <c r="Q7" i="2"/>
  <c r="P7" i="2"/>
  <c r="Q12" i="2"/>
  <c r="P12" i="2"/>
  <c r="P5" i="2"/>
  <c r="P9" i="2"/>
  <c r="H10" i="1"/>
  <c r="H9" i="1"/>
  <c r="AL10" i="1"/>
  <c r="J10" i="1" s="1"/>
  <c r="AG9" i="1"/>
  <c r="AF9" i="1"/>
  <c r="AE9" i="1"/>
  <c r="AB9" i="1"/>
  <c r="U9" i="1"/>
  <c r="W9" i="1" s="1"/>
  <c r="G9" i="1"/>
  <c r="S10" i="1" s="1"/>
  <c r="AN10" i="1"/>
  <c r="AN9" i="1"/>
  <c r="AH17" i="1"/>
  <c r="AH9" i="1" l="1"/>
  <c r="O9" i="1" s="1"/>
  <c r="L9" i="1" s="1"/>
  <c r="H16" i="1"/>
  <c r="H14" i="1"/>
  <c r="AN11" i="1"/>
  <c r="H8" i="1"/>
  <c r="AN7" i="1"/>
  <c r="AN5" i="1"/>
  <c r="AN6" i="1"/>
  <c r="H12" i="1"/>
  <c r="H11" i="1" l="1"/>
  <c r="H7" i="1"/>
  <c r="H6" i="1"/>
  <c r="H5" i="1"/>
  <c r="AN8" i="1" l="1"/>
  <c r="AO3" i="1"/>
  <c r="G16" i="1"/>
  <c r="G14" i="1"/>
  <c r="G12" i="1"/>
  <c r="G15" i="1"/>
  <c r="G13" i="1"/>
  <c r="H13" i="1" s="1"/>
  <c r="G11" i="1"/>
  <c r="G7" i="1"/>
  <c r="I13" i="1" l="1"/>
  <c r="I5" i="1"/>
  <c r="I10" i="1"/>
  <c r="I9" i="1"/>
  <c r="I15" i="1"/>
  <c r="I8" i="1"/>
  <c r="I6" i="1"/>
  <c r="I12" i="1"/>
  <c r="I14" i="1"/>
  <c r="I16" i="1"/>
  <c r="I11" i="1"/>
  <c r="Q9" i="1" l="1"/>
  <c r="J9" i="1" s="1"/>
  <c r="P10" i="1"/>
  <c r="L10" i="1" s="1"/>
  <c r="M9" i="1" s="1"/>
  <c r="N9" i="1" s="1"/>
  <c r="Q10" i="1"/>
  <c r="AJ17" i="1"/>
  <c r="AL8" i="1" l="1"/>
  <c r="J8" i="1" s="1"/>
  <c r="Q8" i="1"/>
  <c r="AF11" i="1"/>
  <c r="AF18" i="1" s="1"/>
  <c r="AG11" i="1"/>
  <c r="AG18" i="1" s="1"/>
  <c r="AF13" i="1"/>
  <c r="AG13" i="1"/>
  <c r="AF15" i="1"/>
  <c r="AG15" i="1"/>
  <c r="AH15" i="1" s="1"/>
  <c r="O15" i="1" s="1"/>
  <c r="L15" i="1" s="1"/>
  <c r="AE11" i="1"/>
  <c r="AE13" i="1"/>
  <c r="AE15" i="1"/>
  <c r="AB11" i="1"/>
  <c r="AB13" i="1"/>
  <c r="AB15" i="1"/>
  <c r="AL14" i="1"/>
  <c r="J14" i="1"/>
  <c r="Q14" i="1" s="1"/>
  <c r="AL16" i="1"/>
  <c r="J16" i="1" s="1"/>
  <c r="AL12" i="1"/>
  <c r="J12" i="1" s="1"/>
  <c r="Q12" i="1" s="1"/>
  <c r="E2" i="1"/>
  <c r="K9" i="1" s="1"/>
  <c r="U5" i="1"/>
  <c r="S6" i="1"/>
  <c r="U7" i="1"/>
  <c r="AB7" i="1"/>
  <c r="AE7" i="1"/>
  <c r="AF7" i="1"/>
  <c r="AG7" i="1"/>
  <c r="K10" i="1" l="1"/>
  <c r="T10" i="1" s="1"/>
  <c r="U10" i="1" s="1"/>
  <c r="X10" i="1" s="1"/>
  <c r="W7" i="1"/>
  <c r="O7" i="1"/>
  <c r="L7" i="1" s="1"/>
  <c r="O6" i="1"/>
  <c r="Q6" i="1" s="1"/>
  <c r="O5" i="1"/>
  <c r="AH11" i="1"/>
  <c r="AH18" i="1" s="1"/>
  <c r="W5" i="1"/>
  <c r="S16" i="1"/>
  <c r="S12" i="1"/>
  <c r="S14" i="1"/>
  <c r="K6" i="1"/>
  <c r="T6" i="1" s="1"/>
  <c r="U6" i="1" s="1"/>
  <c r="W6" i="1" s="1"/>
  <c r="S8" i="1"/>
  <c r="K12" i="1"/>
  <c r="O12" i="1" s="1"/>
  <c r="L12" i="1" s="1"/>
  <c r="K8" i="1"/>
  <c r="P8" i="1"/>
  <c r="AH7" i="1"/>
  <c r="K14" i="1"/>
  <c r="AH13" i="1"/>
  <c r="O13" i="1" s="1"/>
  <c r="Q16" i="1"/>
  <c r="K16" i="1"/>
  <c r="Q15" i="1"/>
  <c r="J15" i="1" s="1"/>
  <c r="K15" i="1" s="1"/>
  <c r="O16" i="1" l="1"/>
  <c r="L16" i="1" s="1"/>
  <c r="M15" i="1" s="1"/>
  <c r="N15" i="1" s="1"/>
  <c r="W10" i="1"/>
  <c r="L5" i="1"/>
  <c r="P6" i="1"/>
  <c r="T12" i="1"/>
  <c r="U12" i="1" s="1"/>
  <c r="W12" i="1" s="1"/>
  <c r="O11" i="1"/>
  <c r="Q13" i="1"/>
  <c r="L13" i="1"/>
  <c r="L8" i="1"/>
  <c r="M7" i="1" s="1"/>
  <c r="N7" i="1" s="1"/>
  <c r="T16" i="1"/>
  <c r="U16" i="1" s="1"/>
  <c r="W16" i="1" s="1"/>
  <c r="X6" i="1"/>
  <c r="T14" i="1"/>
  <c r="U14" i="1" s="1"/>
  <c r="W14" i="1" s="1"/>
  <c r="O14" i="1"/>
  <c r="L14" i="1" s="1"/>
  <c r="T8" i="1"/>
  <c r="U8" i="1" s="1"/>
  <c r="W8" i="1" s="1"/>
  <c r="L6" i="1" l="1"/>
  <c r="M5" i="1" s="1"/>
  <c r="N5" i="1" s="1"/>
  <c r="X12" i="1"/>
  <c r="M13" i="1"/>
  <c r="N13" i="1" s="1"/>
  <c r="L11" i="1"/>
  <c r="M11" i="1" s="1"/>
  <c r="N11" i="1" s="1"/>
  <c r="Q11" i="1"/>
  <c r="X16" i="1"/>
  <c r="J13" i="1"/>
  <c r="K13" i="1" s="1"/>
  <c r="X14" i="1"/>
  <c r="X8" i="1"/>
  <c r="I7" i="1" s="1"/>
  <c r="X7" i="1" l="1"/>
  <c r="Q7" i="1"/>
  <c r="J7" i="1" s="1"/>
  <c r="K7" i="1" s="1"/>
  <c r="J11" i="1"/>
  <c r="K11" i="1" s="1"/>
  <c r="J5" i="1" l="1"/>
  <c r="K5" i="1" s="1"/>
  <c r="X5" i="1" s="1"/>
</calcChain>
</file>

<file path=xl/sharedStrings.xml><?xml version="1.0" encoding="utf-8"?>
<sst xmlns="http://schemas.openxmlformats.org/spreadsheetml/2006/main" count="190" uniqueCount="145">
  <si>
    <t>Wind, Kts</t>
  </si>
  <si>
    <t>STND SL</t>
  </si>
  <si>
    <t>Wind, fpm</t>
  </si>
  <si>
    <t>Cleared</t>
  </si>
  <si>
    <t>Total</t>
  </si>
  <si>
    <t>Gross Wt.</t>
  </si>
  <si>
    <t>IAS</t>
  </si>
  <si>
    <t>TAS</t>
  </si>
  <si>
    <t>GS</t>
  </si>
  <si>
    <t>Obstacle</t>
  </si>
  <si>
    <t>Ground</t>
  </si>
  <si>
    <t>Distance</t>
  </si>
  <si>
    <t>DtC -</t>
  </si>
  <si>
    <t>MPH</t>
  </si>
  <si>
    <t>fpm</t>
  </si>
  <si>
    <t>Angle</t>
  </si>
  <si>
    <t>Obs. Dist,'</t>
  </si>
  <si>
    <t xml:space="preserve"> Height, '</t>
  </si>
  <si>
    <t>Time, s</t>
  </si>
  <si>
    <t>Run, '</t>
  </si>
  <si>
    <t>to Clear, '</t>
  </si>
  <si>
    <t>GR</t>
  </si>
  <si>
    <t>obstacle,'</t>
  </si>
  <si>
    <t>ang</t>
  </si>
  <si>
    <t>'64 C150</t>
  </si>
  <si>
    <t>Vx</t>
  </si>
  <si>
    <t>Vy</t>
  </si>
  <si>
    <t>10 deg. C</t>
  </si>
  <si>
    <t>20 deg. C</t>
  </si>
  <si>
    <t>15 deg. C</t>
  </si>
  <si>
    <t>'78 C152</t>
  </si>
  <si>
    <t>NN</t>
  </si>
  <si>
    <t>~ user input (- = Tailwind)</t>
  </si>
  <si>
    <t>~ Bold # entered from POH</t>
  </si>
  <si>
    <t>~ computed #</t>
  </si>
  <si>
    <t>Notes:</t>
  </si>
  <si>
    <t>GS reduces TAS by vertical compnet (Climb/Descent rate)</t>
  </si>
  <si>
    <t>The above has both the Vx &amp; Vy aircraft lifting off the runway at the same distnce from the obstacle</t>
  </si>
  <si>
    <t>In fact the Vx aircraft will lift off well before the Vy aircraft due to the additional ground roll the Vy aircraft needs to attain the Vy speed.</t>
  </si>
  <si>
    <t>4000#</t>
  </si>
  <si>
    <t>3700#</t>
  </si>
  <si>
    <t>3400#</t>
  </si>
  <si>
    <t>fpm Climb Rate</t>
  </si>
  <si>
    <t>~ not specified nor was performance table used for obstacle clearance, just Vy</t>
  </si>
  <si>
    <t>0° C</t>
  </si>
  <si>
    <t>20° C</t>
  </si>
  <si>
    <t>15° C</t>
  </si>
  <si>
    <t>IAS Kts</t>
  </si>
  <si>
    <t>LO</t>
  </si>
  <si>
    <t>50'</t>
  </si>
  <si>
    <t>'82 CT210N</t>
  </si>
  <si>
    <t>Climb</t>
  </si>
  <si>
    <t>~ Ground roll and total distance estimated using average acceleration to Vy</t>
  </si>
  <si>
    <t>~ Average acceleration adjusted for different input cell locations from above</t>
  </si>
  <si>
    <t xml:space="preserve"> ~ ???!!</t>
  </si>
  <si>
    <t>% &gt;</t>
  </si>
  <si>
    <t>CAS</t>
  </si>
  <si>
    <t>KTS</t>
  </si>
  <si>
    <t>IAS,mph</t>
  </si>
  <si>
    <t>CAS,mph</t>
  </si>
  <si>
    <t>IAS,kts</t>
  </si>
  <si>
    <t>CAS,kts</t>
  </si>
  <si>
    <t>mph to kts =</t>
  </si>
  <si>
    <t>kts to fpm =</t>
  </si>
  <si>
    <t>Rate</t>
  </si>
  <si>
    <t>&gt;Vx</t>
  </si>
  <si>
    <t>Vy°</t>
  </si>
  <si>
    <t>avg IAS</t>
  </si>
  <si>
    <r>
      <t>10</t>
    </r>
    <r>
      <rPr>
        <sz val="11"/>
        <color indexed="8"/>
        <rFont val="Symbol"/>
        <family val="1"/>
        <charset val="2"/>
      </rPr>
      <t>°</t>
    </r>
    <r>
      <rPr>
        <sz val="11"/>
        <color indexed="8"/>
        <rFont val="Arial"/>
        <family val="2"/>
        <charset val="1"/>
      </rPr>
      <t xml:space="preserve"> Flaps</t>
    </r>
  </si>
  <si>
    <r>
      <t>0</t>
    </r>
    <r>
      <rPr>
        <sz val="11"/>
        <color indexed="8"/>
        <rFont val="Symbol"/>
        <family val="1"/>
        <charset val="2"/>
      </rPr>
      <t>°</t>
    </r>
    <r>
      <rPr>
        <sz val="11"/>
        <color indexed="8"/>
        <rFont val="Arial"/>
        <family val="2"/>
        <charset val="1"/>
      </rPr>
      <t xml:space="preserve"> Flaps</t>
    </r>
  </si>
  <si>
    <t>'64 150</t>
  </si>
  <si>
    <t>'78 152</t>
  </si>
  <si>
    <t>T
2
1
0</t>
  </si>
  <si>
    <t>mph/kt</t>
  </si>
  <si>
    <t>Airspeed Correction Tables (SubSonic Position Error)</t>
  </si>
  <si>
    <t>78 C172</t>
  </si>
  <si>
    <t>2300#</t>
  </si>
  <si>
    <t>'78 172</t>
  </si>
  <si>
    <t>Cessna 172</t>
  </si>
  <si>
    <t>V, mph</t>
  </si>
  <si>
    <t>V, kts</t>
  </si>
  <si>
    <t>ROC, fpm</t>
  </si>
  <si>
    <t>Sink Rate, fpm</t>
  </si>
  <si>
    <t>Reynolds No., million</t>
  </si>
  <si>
    <t>THP, hp</t>
  </si>
  <si>
    <t>Thrust, lb</t>
  </si>
  <si>
    <t>Drag, lb</t>
  </si>
  <si>
    <t>L/D</t>
  </si>
  <si>
    <t>SEP, ft/sec</t>
  </si>
  <si>
    <t>Mach No.</t>
  </si>
  <si>
    <t>Flight Path Angle, deg</t>
  </si>
  <si>
    <t>T-D</t>
  </si>
  <si>
    <t>(T-D)/W</t>
  </si>
  <si>
    <t>asin((T-D)/W), deg</t>
  </si>
  <si>
    <t>V*(T-D)/W</t>
  </si>
  <si>
    <t>McIver</t>
  </si>
  <si>
    <t>pg. 13</t>
  </si>
  <si>
    <t>(pg. 14 of PDF)</t>
  </si>
  <si>
    <t>W, lb</t>
  </si>
  <si>
    <t>KIAS</t>
  </si>
  <si>
    <t>"Power Off Stall speed"</t>
  </si>
  <si>
    <t>nose wheel LO</t>
  </si>
  <si>
    <t>Vx and speed at 50'</t>
  </si>
  <si>
    <t>Power off stall for most fwd CG at GW flaps up</t>
  </si>
  <si>
    <t>Power off stall for most rear CG at GW flaps up</t>
  </si>
  <si>
    <r>
      <t xml:space="preserve">When </t>
    </r>
    <r>
      <rPr>
        <b/>
        <sz val="11"/>
        <color indexed="8"/>
        <rFont val="Arial"/>
        <family val="2"/>
      </rPr>
      <t>explicitly</t>
    </r>
    <r>
      <rPr>
        <sz val="11"/>
        <color indexed="8"/>
        <rFont val="Arial"/>
        <family val="2"/>
        <charset val="1"/>
      </rPr>
      <t xml:space="preserve"> using the POH numbers </t>
    </r>
    <r>
      <rPr>
        <b/>
        <sz val="11"/>
        <color indexed="8"/>
        <rFont val="Arial"/>
        <family val="2"/>
      </rPr>
      <t>without regard to any techniques which may have been used to obtain those specifications and which are not specified in the POH</t>
    </r>
    <r>
      <rPr>
        <sz val="11"/>
        <color indexed="8"/>
        <rFont val="Arial"/>
        <family val="2"/>
        <charset val="1"/>
      </rPr>
      <t>:</t>
    </r>
  </si>
  <si>
    <t>The following conclusions are arrived at:</t>
  </si>
  <si>
    <t>These 4 POHs give a lot of specification of Vy climb rates (at various Temps / Alts), but NO climb rates for Vx</t>
  </si>
  <si>
    <t>Vx does NOT give the best angle of climb, it only increases the distance from an obstacle at lift off relative to Vy.</t>
  </si>
  <si>
    <t>Analysis without assumptions:</t>
  </si>
  <si>
    <t>Analysis assuming there were unspecified techniques and KIAS numbers used to obtain the 50' clearance specifications.</t>
  </si>
  <si>
    <t>Using that assumption the Vx angle is greater than the Vy angle which is correct.</t>
  </si>
  <si>
    <t>Short field LO</t>
  </si>
  <si>
    <t>what they probably did to give the best showing (min distance over 50’) was:</t>
  </si>
  <si>
    <t>40 KIAS = 49 KCAS</t>
  </si>
  <si>
    <t>52 KIAS = 56.4 KCAS</t>
  </si>
  <si>
    <t>59 KIAS = 61.3 KCAS</t>
  </si>
  <si>
    <t>73 KIAS = 73 KCAS</t>
  </si>
  <si>
    <t>Then it’s just a matter of guessing the average accelerations from:</t>
  </si>
  <si>
    <t>0 to 49, on the ground, then</t>
  </si>
  <si>
    <t>GAMA spec pg 5-2:</t>
  </si>
  <si>
    <t>5.17 Technique</t>
  </si>
  <si>
    <t>The technique or procedure necessary to duplicate</t>
  </si>
  <si>
    <r>
      <t xml:space="preserve">the performance presented </t>
    </r>
    <r>
      <rPr>
        <i/>
        <sz val="10.5"/>
        <rFont val="Arial"/>
        <family val="2"/>
      </rPr>
      <t xml:space="preserve">shall </t>
    </r>
    <r>
      <rPr>
        <sz val="11"/>
        <rFont val="Times New Roman"/>
        <family val="1"/>
      </rPr>
      <t>be included for those</t>
    </r>
  </si>
  <si>
    <t>items of performance where the attainment of the</t>
  </si>
  <si>
    <t>predicted airplane performance requires a special</t>
  </si>
  <si>
    <t>sequence of actions.</t>
  </si>
  <si>
    <t>Power off Full flap Stall at GW</t>
  </si>
  <si>
    <t>KCAS</t>
  </si>
  <si>
    <t>-</t>
  </si>
  <si>
    <t>Vy 770 fpm</t>
  </si>
  <si>
    <t>56.4 to 59 ("Lift Off") while climbing to/over the 50’ obstacle</t>
  </si>
  <si>
    <t>49 to 56.4 in ground effect, ending "Ground Roll"  then</t>
  </si>
  <si>
    <t>…sooo the POHs leave out quite a bit.</t>
  </si>
  <si>
    <t>ASs would be in sequence:</t>
  </si>
  <si>
    <t>Assume the A/C actually lifted off at a few knots above power on stall and stayed in ground effect until reaching the stated "Lift Off" speed, then rotated to maintain Vx.</t>
  </si>
  <si>
    <r>
      <t>1)</t>
    </r>
    <r>
      <rPr>
        <sz val="7"/>
        <rFont val="Times New Roman"/>
        <family val="1"/>
      </rPr>
      <t xml:space="preserve">      </t>
    </r>
    <r>
      <rPr>
        <sz val="12"/>
        <rFont val="Arial"/>
        <family val="2"/>
      </rPr>
      <t>lift off at 40 KIAS or less since full power stalls will be at significantly lower airspeeds than power off stalls,</t>
    </r>
  </si>
  <si>
    <r>
      <t>2)</t>
    </r>
    <r>
      <rPr>
        <sz val="7"/>
        <rFont val="Times New Roman"/>
        <family val="1"/>
      </rPr>
      <t xml:space="preserve">      </t>
    </r>
    <r>
      <rPr>
        <sz val="12"/>
        <rFont val="Arial"/>
        <family val="2"/>
      </rPr>
      <t>then stay in ground effect (wheels about 1’ off the runway) until they got to 52 KIAS</t>
    </r>
  </si>
  <si>
    <r>
      <t>3)</t>
    </r>
    <r>
      <rPr>
        <sz val="7"/>
        <rFont val="Times New Roman"/>
        <family val="1"/>
      </rPr>
      <t xml:space="preserve">      </t>
    </r>
    <r>
      <rPr>
        <sz val="12"/>
        <rFont val="Arial"/>
        <family val="2"/>
      </rPr>
      <t>Then “Lift off”, pulling back a bit, wait for 59 KIAS, then relax back pressure to hold 59 KIAS until ~100’</t>
    </r>
  </si>
  <si>
    <r>
      <t>4)</t>
    </r>
    <r>
      <rPr>
        <sz val="7"/>
        <rFont val="Times New Roman"/>
        <family val="1"/>
      </rPr>
      <t xml:space="preserve">      </t>
    </r>
    <r>
      <rPr>
        <sz val="12"/>
        <rFont val="Arial"/>
        <family val="2"/>
      </rPr>
      <t>Then relax back pressure more until at 73 KIAS, then hold 73 KIAS.</t>
    </r>
  </si>
  <si>
    <t>i.e.;</t>
  </si>
  <si>
    <t>Should = Col M</t>
  </si>
  <si>
    <t>Should = Col D</t>
  </si>
  <si>
    <t>Note the McIver tab evaluates the '78 172 ROC using excess thrust, confirming that the Vx ROC in the above SS is wrong.</t>
  </si>
  <si>
    <t>Vy (best rate) gives about 1.5 degrees greater angle than Vx (best ANGLE??)  - although the Vx climb rates are suspiciously low.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</si>
</sst>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.0"/>
    <numFmt numFmtId="166" formatCode="0.0%"/>
    <numFmt numFmtId="167" formatCode="0.000"/>
    <numFmt numFmtId="168" formatCode="#.00"/>
  </numFmts>
  <fonts count="22" x14ac:knownFonts="1">
    <font>
      <sz val="10"/>
      <name val="Arial"/>
      <family val="2"/>
    </font>
    <font>
      <sz val="11"/>
      <color indexed="8"/>
      <name val="Arial"/>
      <family val="2"/>
      <charset val="1"/>
    </font>
    <font>
      <b/>
      <sz val="11"/>
      <color indexed="8"/>
      <name val="Arial"/>
      <family val="2"/>
      <charset val="1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color indexed="8"/>
      <name val="Symbol"/>
      <family val="1"/>
      <charset val="2"/>
    </font>
    <font>
      <i/>
      <sz val="11"/>
      <color rgb="FFFF0000"/>
      <name val="Arial"/>
      <family val="2"/>
    </font>
    <font>
      <i/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0"/>
      <color indexed="53"/>
      <name val="Arial"/>
      <family val="2"/>
    </font>
    <font>
      <b/>
      <sz val="11"/>
      <color rgb="FFFF0000"/>
      <name val="Arial"/>
      <family val="2"/>
    </font>
    <font>
      <sz val="10"/>
      <name val="Times New Roman"/>
      <family val="1"/>
    </font>
    <font>
      <sz val="12"/>
      <name val="Times New Roman"/>
      <family val="1"/>
    </font>
    <font>
      <sz val="12"/>
      <color rgb="FF1F497D"/>
      <name val="Arial"/>
      <family val="2"/>
    </font>
    <font>
      <sz val="7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i/>
      <sz val="10.5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13"/>
      </patternFill>
    </fill>
    <fill>
      <patternFill patternType="solid">
        <fgColor theme="6" tint="0.79998168889431442"/>
        <bgColor indexed="34"/>
      </patternFill>
    </fill>
    <fill>
      <patternFill patternType="solid">
        <fgColor theme="6" tint="0.79998168889431442"/>
        <bgColor indexed="13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78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2" fillId="0" borderId="0" xfId="1" applyFont="1" applyAlignment="1">
      <alignment horizontal="center"/>
    </xf>
    <xf numFmtId="0" fontId="1" fillId="2" borderId="0" xfId="1" applyFill="1"/>
    <xf numFmtId="0" fontId="2" fillId="0" borderId="0" xfId="1" applyFont="1"/>
    <xf numFmtId="3" fontId="3" fillId="0" borderId="1" xfId="1" applyNumberFormat="1" applyFont="1" applyBorder="1" applyAlignment="1">
      <alignment horizontal="center"/>
    </xf>
    <xf numFmtId="164" fontId="6" fillId="0" borderId="1" xfId="1" applyNumberFormat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 applyAlignment="1">
      <alignment horizontal="center"/>
    </xf>
    <xf numFmtId="3" fontId="4" fillId="0" borderId="1" xfId="1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65" fontId="4" fillId="0" borderId="1" xfId="1" applyNumberFormat="1" applyFont="1" applyBorder="1" applyAlignment="1">
      <alignment horizontal="center"/>
    </xf>
    <xf numFmtId="165" fontId="4" fillId="0" borderId="0" xfId="1" applyNumberFormat="1" applyFont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3" fillId="0" borderId="1" xfId="1" applyFont="1" applyBorder="1" applyAlignment="1">
      <alignment horizontal="right"/>
    </xf>
    <xf numFmtId="3" fontId="4" fillId="0" borderId="1" xfId="1" applyNumberFormat="1" applyFont="1" applyBorder="1" applyAlignment="1">
      <alignment horizontal="right"/>
    </xf>
    <xf numFmtId="0" fontId="4" fillId="0" borderId="1" xfId="1" applyFont="1" applyBorder="1" applyAlignment="1">
      <alignment horizontal="right"/>
    </xf>
    <xf numFmtId="0" fontId="8" fillId="0" borderId="1" xfId="0" applyFont="1" applyBorder="1" applyAlignment="1">
      <alignment horizontal="right" vertical="center"/>
    </xf>
    <xf numFmtId="0" fontId="4" fillId="0" borderId="3" xfId="1" applyFont="1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3" fillId="3" borderId="1" xfId="1" applyFont="1" applyFill="1" applyBorder="1" applyAlignment="1">
      <alignment horizontal="right" vertical="center"/>
    </xf>
    <xf numFmtId="3" fontId="4" fillId="3" borderId="1" xfId="1" applyNumberFormat="1" applyFont="1" applyFill="1" applyBorder="1" applyAlignment="1">
      <alignment horizontal="right"/>
    </xf>
    <xf numFmtId="3" fontId="4" fillId="3" borderId="1" xfId="1" applyNumberFormat="1" applyFont="1" applyFill="1" applyBorder="1" applyAlignment="1">
      <alignment horizontal="center"/>
    </xf>
    <xf numFmtId="164" fontId="3" fillId="3" borderId="1" xfId="1" applyNumberFormat="1" applyFont="1" applyFill="1" applyBorder="1" applyAlignment="1">
      <alignment horizontal="center"/>
    </xf>
    <xf numFmtId="165" fontId="4" fillId="3" borderId="1" xfId="1" applyNumberFormat="1" applyFont="1" applyFill="1" applyBorder="1" applyAlignment="1">
      <alignment horizontal="center"/>
    </xf>
    <xf numFmtId="0" fontId="4" fillId="3" borderId="0" xfId="1" applyFont="1" applyFill="1"/>
    <xf numFmtId="0" fontId="4" fillId="3" borderId="0" xfId="1" applyFont="1" applyFill="1" applyAlignment="1">
      <alignment horizontal="center"/>
    </xf>
    <xf numFmtId="3" fontId="3" fillId="3" borderId="1" xfId="1" applyNumberFormat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4" fillId="3" borderId="2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right"/>
    </xf>
    <xf numFmtId="3" fontId="7" fillId="3" borderId="1" xfId="1" applyNumberFormat="1" applyFont="1" applyFill="1" applyBorder="1" applyAlignment="1">
      <alignment horizontal="center"/>
    </xf>
    <xf numFmtId="164" fontId="6" fillId="3" borderId="1" xfId="1" applyNumberFormat="1" applyFont="1" applyFill="1" applyBorder="1" applyAlignment="1">
      <alignment horizontal="center"/>
    </xf>
    <xf numFmtId="165" fontId="4" fillId="3" borderId="0" xfId="1" applyNumberFormat="1" applyFont="1" applyFill="1" applyAlignment="1">
      <alignment horizontal="center"/>
    </xf>
    <xf numFmtId="0" fontId="3" fillId="3" borderId="1" xfId="1" applyFont="1" applyFill="1" applyBorder="1" applyAlignment="1">
      <alignment horizontal="center"/>
    </xf>
    <xf numFmtId="0" fontId="4" fillId="3" borderId="1" xfId="1" applyFont="1" applyFill="1" applyBorder="1" applyAlignment="1">
      <alignment horizontal="center"/>
    </xf>
    <xf numFmtId="0" fontId="4" fillId="3" borderId="1" xfId="1" applyFont="1" applyFill="1" applyBorder="1" applyAlignment="1">
      <alignment horizontal="right"/>
    </xf>
    <xf numFmtId="165" fontId="4" fillId="3" borderId="2" xfId="1" applyNumberFormat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4" fillId="0" borderId="1" xfId="1" applyFont="1" applyBorder="1"/>
    <xf numFmtId="0" fontId="1" fillId="3" borderId="1" xfId="1" applyFill="1" applyBorder="1"/>
    <xf numFmtId="0" fontId="3" fillId="0" borderId="1" xfId="1" applyFont="1" applyBorder="1"/>
    <xf numFmtId="0" fontId="1" fillId="0" borderId="0" xfId="1" applyBorder="1"/>
    <xf numFmtId="0" fontId="1" fillId="0" borderId="0" xfId="1" applyBorder="1" applyAlignment="1">
      <alignment horizontal="center"/>
    </xf>
    <xf numFmtId="3" fontId="4" fillId="5" borderId="1" xfId="1" applyNumberFormat="1" applyFont="1" applyFill="1" applyBorder="1" applyAlignment="1">
      <alignment horizontal="center"/>
    </xf>
    <xf numFmtId="3" fontId="4" fillId="6" borderId="1" xfId="1" applyNumberFormat="1" applyFont="1" applyFill="1" applyBorder="1" applyAlignment="1">
      <alignment horizontal="center"/>
    </xf>
    <xf numFmtId="0" fontId="3" fillId="6" borderId="1" xfId="1" applyFont="1" applyFill="1" applyBorder="1" applyAlignment="1">
      <alignment horizontal="center"/>
    </xf>
    <xf numFmtId="165" fontId="4" fillId="6" borderId="1" xfId="1" applyNumberFormat="1" applyFont="1" applyFill="1" applyBorder="1" applyAlignment="1">
      <alignment horizontal="center"/>
    </xf>
    <xf numFmtId="3" fontId="4" fillId="7" borderId="1" xfId="1" applyNumberFormat="1" applyFont="1" applyFill="1" applyBorder="1" applyAlignment="1">
      <alignment horizontal="center"/>
    </xf>
    <xf numFmtId="3" fontId="4" fillId="8" borderId="1" xfId="1" applyNumberFormat="1" applyFont="1" applyFill="1" applyBorder="1" applyAlignment="1">
      <alignment horizontal="center"/>
    </xf>
    <xf numFmtId="0" fontId="3" fillId="8" borderId="1" xfId="1" applyFont="1" applyFill="1" applyBorder="1" applyAlignment="1">
      <alignment horizontal="center"/>
    </xf>
    <xf numFmtId="165" fontId="4" fillId="8" borderId="1" xfId="1" applyNumberFormat="1" applyFont="1" applyFill="1" applyBorder="1" applyAlignment="1">
      <alignment horizontal="center"/>
    </xf>
    <xf numFmtId="0" fontId="1" fillId="4" borderId="0" xfId="1" applyFill="1"/>
    <xf numFmtId="0" fontId="1" fillId="9" borderId="0" xfId="1" applyFill="1"/>
    <xf numFmtId="0" fontId="1" fillId="10" borderId="0" xfId="1" applyFill="1"/>
    <xf numFmtId="0" fontId="4" fillId="10" borderId="1" xfId="1" applyFont="1" applyFill="1" applyBorder="1" applyAlignment="1">
      <alignment horizontal="center"/>
    </xf>
    <xf numFmtId="3" fontId="3" fillId="3" borderId="9" xfId="1" applyNumberFormat="1" applyFont="1" applyFill="1" applyBorder="1" applyAlignment="1">
      <alignment horizontal="center"/>
    </xf>
    <xf numFmtId="3" fontId="3" fillId="3" borderId="10" xfId="1" applyNumberFormat="1" applyFont="1" applyFill="1" applyBorder="1" applyAlignment="1">
      <alignment horizontal="center"/>
    </xf>
    <xf numFmtId="3" fontId="4" fillId="3" borderId="11" xfId="1" applyNumberFormat="1" applyFont="1" applyFill="1" applyBorder="1" applyAlignment="1">
      <alignment horizontal="center"/>
    </xf>
    <xf numFmtId="3" fontId="4" fillId="0" borderId="12" xfId="1" applyNumberFormat="1" applyFont="1" applyBorder="1" applyAlignment="1">
      <alignment horizontal="center"/>
    </xf>
    <xf numFmtId="3" fontId="4" fillId="0" borderId="13" xfId="1" applyNumberFormat="1" applyFont="1" applyBorder="1" applyAlignment="1">
      <alignment horizontal="center"/>
    </xf>
    <xf numFmtId="3" fontId="3" fillId="3" borderId="12" xfId="1" applyNumberFormat="1" applyFont="1" applyFill="1" applyBorder="1" applyAlignment="1">
      <alignment horizontal="center"/>
    </xf>
    <xf numFmtId="3" fontId="4" fillId="3" borderId="13" xfId="1" applyNumberFormat="1" applyFont="1" applyFill="1" applyBorder="1" applyAlignment="1">
      <alignment horizontal="center"/>
    </xf>
    <xf numFmtId="3" fontId="3" fillId="0" borderId="12" xfId="1" applyNumberFormat="1" applyFont="1" applyBorder="1" applyAlignment="1">
      <alignment horizontal="center"/>
    </xf>
    <xf numFmtId="3" fontId="3" fillId="3" borderId="14" xfId="1" applyNumberFormat="1" applyFont="1" applyFill="1" applyBorder="1" applyAlignment="1">
      <alignment horizontal="center"/>
    </xf>
    <xf numFmtId="3" fontId="3" fillId="3" borderId="15" xfId="1" applyNumberFormat="1" applyFont="1" applyFill="1" applyBorder="1" applyAlignment="1">
      <alignment horizontal="center"/>
    </xf>
    <xf numFmtId="3" fontId="4" fillId="3" borderId="16" xfId="1" applyNumberFormat="1" applyFont="1" applyFill="1" applyBorder="1" applyAlignment="1">
      <alignment horizontal="center"/>
    </xf>
    <xf numFmtId="3" fontId="4" fillId="3" borderId="9" xfId="1" applyNumberFormat="1" applyFont="1" applyFill="1" applyBorder="1" applyAlignment="1">
      <alignment horizontal="center"/>
    </xf>
    <xf numFmtId="3" fontId="4" fillId="3" borderId="10" xfId="1" applyNumberFormat="1" applyFont="1" applyFill="1" applyBorder="1" applyAlignment="1">
      <alignment horizontal="center"/>
    </xf>
    <xf numFmtId="3" fontId="4" fillId="3" borderId="12" xfId="1" applyNumberFormat="1" applyFont="1" applyFill="1" applyBorder="1" applyAlignment="1">
      <alignment horizontal="center"/>
    </xf>
    <xf numFmtId="3" fontId="4" fillId="3" borderId="14" xfId="1" applyNumberFormat="1" applyFont="1" applyFill="1" applyBorder="1" applyAlignment="1">
      <alignment horizontal="center"/>
    </xf>
    <xf numFmtId="3" fontId="4" fillId="3" borderId="15" xfId="1" applyNumberFormat="1" applyFont="1" applyFill="1" applyBorder="1" applyAlignment="1">
      <alignment horizontal="center"/>
    </xf>
    <xf numFmtId="3" fontId="1" fillId="0" borderId="0" xfId="1" applyNumberFormat="1"/>
    <xf numFmtId="0" fontId="4" fillId="0" borderId="1" xfId="1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2" fontId="1" fillId="0" borderId="0" xfId="1" applyNumberFormat="1" applyAlignment="1">
      <alignment horizontal="center"/>
    </xf>
    <xf numFmtId="4" fontId="4" fillId="3" borderId="1" xfId="1" applyNumberFormat="1" applyFont="1" applyFill="1" applyBorder="1" applyAlignment="1">
      <alignment horizontal="center"/>
    </xf>
    <xf numFmtId="4" fontId="4" fillId="0" borderId="1" xfId="1" applyNumberFormat="1" applyFont="1" applyBorder="1" applyAlignment="1">
      <alignment horizontal="center"/>
    </xf>
    <xf numFmtId="0" fontId="1" fillId="0" borderId="0" xfId="1" applyAlignment="1">
      <alignment horizontal="right"/>
    </xf>
    <xf numFmtId="165" fontId="3" fillId="0" borderId="1" xfId="1" applyNumberFormat="1" applyFont="1" applyBorder="1" applyAlignment="1">
      <alignment horizontal="right"/>
    </xf>
    <xf numFmtId="0" fontId="1" fillId="0" borderId="17" xfId="1" applyBorder="1" applyAlignment="1">
      <alignment horizontal="center"/>
    </xf>
    <xf numFmtId="0" fontId="1" fillId="0" borderId="1" xfId="1" applyBorder="1" applyAlignment="1">
      <alignment horizontal="center"/>
    </xf>
    <xf numFmtId="165" fontId="4" fillId="3" borderId="1" xfId="1" applyNumberFormat="1" applyFont="1" applyFill="1" applyBorder="1" applyAlignment="1">
      <alignment horizontal="right"/>
    </xf>
    <xf numFmtId="165" fontId="4" fillId="0" borderId="1" xfId="1" applyNumberFormat="1" applyFont="1" applyBorder="1" applyAlignment="1">
      <alignment horizontal="right"/>
    </xf>
    <xf numFmtId="165" fontId="1" fillId="0" borderId="0" xfId="1" applyNumberFormat="1"/>
    <xf numFmtId="0" fontId="1" fillId="3" borderId="1" xfId="1" applyFill="1" applyBorder="1" applyAlignment="1">
      <alignment horizontal="center"/>
    </xf>
    <xf numFmtId="165" fontId="1" fillId="3" borderId="1" xfId="1" applyNumberFormat="1" applyFill="1" applyBorder="1"/>
    <xf numFmtId="0" fontId="3" fillId="0" borderId="18" xfId="1" applyFont="1" applyBorder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0" borderId="0" xfId="1" applyFont="1" applyAlignment="1">
      <alignment horizontal="right"/>
    </xf>
    <xf numFmtId="3" fontId="4" fillId="0" borderId="1" xfId="1" applyNumberFormat="1" applyFont="1" applyFill="1" applyBorder="1" applyAlignment="1">
      <alignment horizontal="right"/>
    </xf>
    <xf numFmtId="0" fontId="3" fillId="0" borderId="17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165" fontId="1" fillId="0" borderId="1" xfId="1" applyNumberFormat="1" applyFill="1" applyBorder="1"/>
    <xf numFmtId="0" fontId="4" fillId="0" borderId="1" xfId="1" applyFont="1" applyBorder="1" applyAlignment="1">
      <alignment horizontal="center"/>
    </xf>
    <xf numFmtId="0" fontId="1" fillId="0" borderId="19" xfId="1" applyBorder="1" applyAlignment="1">
      <alignment horizontal="center"/>
    </xf>
    <xf numFmtId="0" fontId="3" fillId="0" borderId="20" xfId="1" applyFont="1" applyBorder="1" applyAlignment="1">
      <alignment horizontal="right"/>
    </xf>
    <xf numFmtId="0" fontId="1" fillId="0" borderId="2" xfId="1" applyBorder="1" applyAlignment="1">
      <alignment horizontal="center"/>
    </xf>
    <xf numFmtId="0" fontId="10" fillId="0" borderId="0" xfId="0" applyFont="1" applyAlignment="1">
      <alignment horizontal="center" wrapText="1"/>
    </xf>
    <xf numFmtId="2" fontId="10" fillId="0" borderId="0" xfId="0" applyNumberFormat="1" applyFont="1" applyAlignment="1">
      <alignment horizontal="center" wrapTex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11" fillId="0" borderId="0" xfId="0" applyFont="1"/>
    <xf numFmtId="2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4" fillId="0" borderId="1" xfId="1" applyFont="1" applyBorder="1" applyAlignment="1">
      <alignment horizontal="center"/>
    </xf>
    <xf numFmtId="0" fontId="12" fillId="0" borderId="0" xfId="1" applyFont="1"/>
    <xf numFmtId="0" fontId="3" fillId="0" borderId="0" xfId="1" applyFont="1"/>
    <xf numFmtId="0" fontId="13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4" fillId="0" borderId="0" xfId="0" applyFont="1" applyAlignment="1">
      <alignment horizontal="left" vertical="center" indent="4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" fillId="0" borderId="0" xfId="1" quotePrefix="1" applyAlignment="1">
      <alignment horizontal="center"/>
    </xf>
    <xf numFmtId="0" fontId="1" fillId="0" borderId="0" xfId="1" quotePrefix="1" applyAlignment="1">
      <alignment horizontal="right"/>
    </xf>
    <xf numFmtId="3" fontId="4" fillId="0" borderId="21" xfId="1" applyNumberFormat="1" applyFont="1" applyBorder="1" applyAlignment="1">
      <alignment horizontal="center"/>
    </xf>
    <xf numFmtId="3" fontId="4" fillId="0" borderId="7" xfId="1" applyNumberFormat="1" applyFont="1" applyBorder="1" applyAlignment="1">
      <alignment horizontal="center"/>
    </xf>
    <xf numFmtId="3" fontId="4" fillId="0" borderId="22" xfId="1" applyNumberFormat="1" applyFont="1" applyBorder="1" applyAlignment="1">
      <alignment horizontal="center"/>
    </xf>
    <xf numFmtId="3" fontId="4" fillId="0" borderId="23" xfId="1" applyNumberFormat="1" applyFont="1" applyBorder="1" applyAlignment="1">
      <alignment horizontal="center"/>
    </xf>
    <xf numFmtId="3" fontId="4" fillId="0" borderId="2" xfId="1" applyNumberFormat="1" applyFont="1" applyBorder="1" applyAlignment="1">
      <alignment horizontal="center"/>
    </xf>
    <xf numFmtId="3" fontId="4" fillId="0" borderId="24" xfId="1" applyNumberFormat="1" applyFont="1" applyBorder="1" applyAlignment="1">
      <alignment horizontal="center"/>
    </xf>
    <xf numFmtId="3" fontId="4" fillId="3" borderId="25" xfId="1" applyNumberFormat="1" applyFont="1" applyFill="1" applyBorder="1" applyAlignment="1">
      <alignment horizontal="center"/>
    </xf>
    <xf numFmtId="3" fontId="4" fillId="3" borderId="26" xfId="1" applyNumberFormat="1" applyFont="1" applyFill="1" applyBorder="1" applyAlignment="1">
      <alignment horizontal="center"/>
    </xf>
    <xf numFmtId="3" fontId="4" fillId="3" borderId="27" xfId="1" applyNumberFormat="1" applyFont="1" applyFill="1" applyBorder="1" applyAlignment="1">
      <alignment horizontal="center"/>
    </xf>
    <xf numFmtId="0" fontId="1" fillId="3" borderId="28" xfId="1" applyFill="1" applyBorder="1" applyAlignment="1">
      <alignment horizontal="center"/>
    </xf>
    <xf numFmtId="0" fontId="1" fillId="3" borderId="29" xfId="1" applyFill="1" applyBorder="1" applyAlignment="1">
      <alignment horizontal="center"/>
    </xf>
    <xf numFmtId="0" fontId="1" fillId="3" borderId="30" xfId="1" applyFill="1" applyBorder="1" applyAlignment="1">
      <alignment horizontal="center"/>
    </xf>
    <xf numFmtId="0" fontId="20" fillId="0" borderId="0" xfId="0" applyFont="1" applyAlignment="1">
      <alignment vertical="center"/>
    </xf>
    <xf numFmtId="0" fontId="0" fillId="0" borderId="0" xfId="0" applyFont="1"/>
    <xf numFmtId="0" fontId="0" fillId="4" borderId="0" xfId="0" applyFont="1" applyFill="1"/>
    <xf numFmtId="0" fontId="8" fillId="0" borderId="0" xfId="1" applyFont="1"/>
    <xf numFmtId="0" fontId="21" fillId="0" borderId="0" xfId="0" applyFont="1" applyAlignment="1">
      <alignment vertical="center"/>
    </xf>
    <xf numFmtId="0" fontId="1" fillId="0" borderId="1" xfId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1" quotePrefix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2" fontId="4" fillId="10" borderId="7" xfId="1" applyNumberFormat="1" applyFont="1" applyFill="1" applyBorder="1" applyAlignment="1">
      <alignment horizontal="center" vertical="center"/>
    </xf>
    <xf numFmtId="2" fontId="0" fillId="10" borderId="2" xfId="0" applyNumberFormat="1" applyFill="1" applyBorder="1" applyAlignment="1">
      <alignment horizontal="center" vertical="center"/>
    </xf>
    <xf numFmtId="166" fontId="4" fillId="10" borderId="7" xfId="1" applyNumberFormat="1" applyFont="1" applyFill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0" fontId="4" fillId="0" borderId="7" xfId="1" quotePrefix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1" fillId="0" borderId="0" xfId="1" quotePrefix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2" xfId="1" quotePrefix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1" quotePrefix="1" applyBorder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0" fontId="1" fillId="0" borderId="1" xfId="1" applyBorder="1" applyAlignment="1">
      <alignment horizontal="left" vertical="center"/>
    </xf>
    <xf numFmtId="0" fontId="0" fillId="0" borderId="1" xfId="0" applyBorder="1" applyAlignment="1"/>
    <xf numFmtId="0" fontId="0" fillId="0" borderId="1" xfId="0" applyBorder="1" applyAlignment="1">
      <alignment horizontal="left" vertical="center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4" fillId="0" borderId="6" xfId="1" applyFont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</cellXfs>
  <cellStyles count="2">
    <cellStyle name="Excel Built-in Normal" xfId="1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99FF99"/>
      <rgbColor rgb="00FFFF66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48203579593126"/>
          <c:y val="7.6698554177950573E-2"/>
          <c:w val="0.83132976211908649"/>
          <c:h val="0.72273637590761119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4586"/>
              </a:solidFill>
              <a:prstDash val="solid"/>
            </a:ln>
          </c:spPr>
          <c:marker>
            <c:symbol val="square"/>
            <c:size val="4"/>
            <c:spPr>
              <a:solidFill>
                <a:srgbClr val="004586"/>
              </a:solidFill>
              <a:ln>
                <a:solidFill>
                  <a:srgbClr val="004586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CCCC"/>
                </a:solidFill>
                <a:prstDash val="sysDash"/>
              </a:ln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McIver!$B$2:$B$13</c:f>
              <c:numCache>
                <c:formatCode>General</c:formatCode>
                <c:ptCount val="12"/>
                <c:pt idx="0">
                  <c:v>57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120</c:v>
                </c:pt>
                <c:pt idx="8">
                  <c:v>130</c:v>
                </c:pt>
                <c:pt idx="9">
                  <c:v>140</c:v>
                </c:pt>
                <c:pt idx="10">
                  <c:v>150</c:v>
                </c:pt>
                <c:pt idx="11">
                  <c:v>154</c:v>
                </c:pt>
              </c:numCache>
            </c:numRef>
          </c:xVal>
          <c:yVal>
            <c:numRef>
              <c:f>McIver!$H$2:$H$13</c:f>
              <c:numCache>
                <c:formatCode>General</c:formatCode>
                <c:ptCount val="12"/>
                <c:pt idx="0">
                  <c:v>446</c:v>
                </c:pt>
                <c:pt idx="1">
                  <c:v>442</c:v>
                </c:pt>
                <c:pt idx="2">
                  <c:v>427</c:v>
                </c:pt>
                <c:pt idx="3">
                  <c:v>411</c:v>
                </c:pt>
                <c:pt idx="4">
                  <c:v>394</c:v>
                </c:pt>
                <c:pt idx="5">
                  <c:v>378</c:v>
                </c:pt>
                <c:pt idx="6">
                  <c:v>362</c:v>
                </c:pt>
                <c:pt idx="7">
                  <c:v>346</c:v>
                </c:pt>
                <c:pt idx="8">
                  <c:v>331</c:v>
                </c:pt>
                <c:pt idx="9">
                  <c:v>317</c:v>
                </c:pt>
                <c:pt idx="10">
                  <c:v>304</c:v>
                </c:pt>
                <c:pt idx="11">
                  <c:v>299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693952"/>
        <c:axId val="69694528"/>
      </c:scatterChart>
      <c:valAx>
        <c:axId val="6969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V, mph</a:t>
                </a:r>
              </a:p>
            </c:rich>
          </c:tx>
          <c:layout>
            <c:manualLayout>
              <c:xMode val="edge"/>
              <c:yMode val="edge"/>
              <c:x val="0.50262406119752301"/>
              <c:y val="0.890883206220810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694528"/>
        <c:crosses val="autoZero"/>
        <c:crossBetween val="midCat"/>
      </c:valAx>
      <c:valAx>
        <c:axId val="69694528"/>
        <c:scaling>
          <c:orientation val="minMax"/>
        </c:scaling>
        <c:delete val="0"/>
        <c:axPos val="l"/>
        <c:majorGridlines>
          <c:spPr>
            <a:ln w="3175">
              <a:solidFill>
                <a:srgbClr val="B3B3B3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Thrust, lb</a:t>
                </a:r>
              </a:p>
            </c:rich>
          </c:tx>
          <c:layout>
            <c:manualLayout>
              <c:xMode val="edge"/>
              <c:yMode val="edge"/>
              <c:x val="2.7826937644153525E-2"/>
              <c:y val="0.356943271366616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69395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1180555555555551" footer="0.51180555555555551"/>
    <c:pageSetup firstPageNumber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69727311008366"/>
          <c:y val="7.6925591198081622E-2"/>
          <c:w val="0.83103660948605507"/>
          <c:h val="0.72191708662815068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4586"/>
              </a:solidFill>
              <a:prstDash val="solid"/>
            </a:ln>
          </c:spPr>
          <c:marker>
            <c:symbol val="square"/>
            <c:size val="4"/>
            <c:spPr>
              <a:solidFill>
                <a:srgbClr val="004586"/>
              </a:solidFill>
              <a:ln>
                <a:solidFill>
                  <a:srgbClr val="004586"/>
                </a:solidFill>
                <a:prstDash val="solid"/>
              </a:ln>
            </c:spPr>
          </c:marker>
          <c:xVal>
            <c:numRef>
              <c:f>McIver!$B$2:$B$13</c:f>
              <c:numCache>
                <c:formatCode>General</c:formatCode>
                <c:ptCount val="12"/>
                <c:pt idx="0">
                  <c:v>57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120</c:v>
                </c:pt>
                <c:pt idx="8">
                  <c:v>130</c:v>
                </c:pt>
                <c:pt idx="9">
                  <c:v>140</c:v>
                </c:pt>
                <c:pt idx="10">
                  <c:v>150</c:v>
                </c:pt>
                <c:pt idx="11">
                  <c:v>154</c:v>
                </c:pt>
              </c:numCache>
            </c:numRef>
          </c:xVal>
          <c:yVal>
            <c:numRef>
              <c:f>McIver!$I$2:$I$13</c:f>
              <c:numCache>
                <c:formatCode>General</c:formatCode>
                <c:ptCount val="12"/>
                <c:pt idx="0">
                  <c:v>253</c:v>
                </c:pt>
                <c:pt idx="1">
                  <c:v>238</c:v>
                </c:pt>
                <c:pt idx="2">
                  <c:v>209</c:v>
                </c:pt>
                <c:pt idx="3">
                  <c:v>200</c:v>
                </c:pt>
                <c:pt idx="4">
                  <c:v>204</c:v>
                </c:pt>
                <c:pt idx="5">
                  <c:v>217</c:v>
                </c:pt>
                <c:pt idx="6">
                  <c:v>237</c:v>
                </c:pt>
                <c:pt idx="7">
                  <c:v>263</c:v>
                </c:pt>
                <c:pt idx="8">
                  <c:v>294</c:v>
                </c:pt>
                <c:pt idx="9">
                  <c:v>329</c:v>
                </c:pt>
                <c:pt idx="10">
                  <c:v>369</c:v>
                </c:pt>
                <c:pt idx="11">
                  <c:v>385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696256"/>
        <c:axId val="69696832"/>
      </c:scatterChart>
      <c:valAx>
        <c:axId val="6969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V. mph</a:t>
                </a:r>
              </a:p>
            </c:rich>
          </c:tx>
          <c:layout>
            <c:manualLayout>
              <c:xMode val="edge"/>
              <c:yMode val="edge"/>
              <c:x val="0.50175795289724079"/>
              <c:y val="0.890561651947021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696832"/>
        <c:crossesAt val="0"/>
        <c:crossBetween val="midCat"/>
      </c:valAx>
      <c:valAx>
        <c:axId val="69696832"/>
        <c:scaling>
          <c:orientation val="minMax"/>
        </c:scaling>
        <c:delete val="0"/>
        <c:axPos val="l"/>
        <c:majorGridlines>
          <c:spPr>
            <a:ln w="3175">
              <a:solidFill>
                <a:srgbClr val="B3B3B3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Drag, lb</a:t>
                </a:r>
              </a:p>
            </c:rich>
          </c:tx>
          <c:layout>
            <c:manualLayout>
              <c:xMode val="edge"/>
              <c:yMode val="edge"/>
              <c:x val="2.7875441827624487E-2"/>
              <c:y val="0.3698345730677001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B3B3B3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696256"/>
        <c:crossesAt val="0"/>
        <c:crossBetween val="midCat"/>
      </c:valAx>
      <c:spPr>
        <a:noFill/>
        <a:ln w="3175">
          <a:solidFill>
            <a:srgbClr val="B3B3B3"/>
          </a:solidFill>
          <a:prstDash val="solid"/>
        </a:ln>
      </c:spPr>
    </c:plotArea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1180555555555551" footer="0.51180555555555551"/>
    <c:pageSetup firstPageNumber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628650</xdr:colOff>
      <xdr:row>17</xdr:row>
      <xdr:rowOff>142875</xdr:rowOff>
    </xdr:from>
    <xdr:to>
      <xdr:col>12</xdr:col>
      <xdr:colOff>257175</xdr:colOff>
      <xdr:row>37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504825</xdr:colOff>
      <xdr:row>18</xdr:row>
      <xdr:rowOff>9525</xdr:rowOff>
    </xdr:from>
    <xdr:to>
      <xdr:col>19</xdr:col>
      <xdr:colOff>228600</xdr:colOff>
      <xdr:row>37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Default">
  <a:themeElements>
    <a:clrScheme name="Custom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CCFFFF"/>
      </a:accent1>
      <a:accent2>
        <a:srgbClr val="00FFFF"/>
      </a:accent2>
      <a:accent3>
        <a:srgbClr val="00FF00"/>
      </a:accent3>
      <a:accent4>
        <a:srgbClr val="FF99CC"/>
      </a:accent4>
      <a:accent5>
        <a:srgbClr val="CC99FF"/>
      </a:accent5>
      <a:accent6>
        <a:srgbClr val="0000FF"/>
      </a:accent6>
      <a:hlink>
        <a:srgbClr val="0000FF"/>
      </a:hlink>
      <a:folHlink>
        <a:srgbClr val="800080"/>
      </a:folHlink>
    </a:clrScheme>
    <a:fontScheme name="Office Classic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75"/>
  <sheetViews>
    <sheetView tabSelected="1" workbookViewId="0"/>
  </sheetViews>
  <sheetFormatPr defaultColWidth="9.42578125" defaultRowHeight="14.25" x14ac:dyDescent="0.2"/>
  <cols>
    <col min="1" max="1" width="12" style="1" customWidth="1"/>
    <col min="2" max="2" width="3.28515625" style="1" customWidth="1"/>
    <col min="3" max="3" width="6.7109375" style="1" customWidth="1"/>
    <col min="4" max="4" width="5.85546875" style="1" customWidth="1"/>
    <col min="5" max="5" width="6.140625" style="1" customWidth="1"/>
    <col min="6" max="6" width="8.85546875" style="1" customWidth="1"/>
    <col min="7" max="7" width="8" style="1" customWidth="1"/>
    <col min="8" max="8" width="5.28515625" style="1" customWidth="1"/>
    <col min="9" max="9" width="7.28515625" style="1" customWidth="1"/>
    <col min="10" max="12" width="6.140625" style="1" customWidth="1"/>
    <col min="13" max="13" width="9.85546875" style="1" customWidth="1"/>
    <col min="14" max="14" width="6.85546875" style="2" customWidth="1"/>
    <col min="15" max="15" width="10.85546875" style="2" customWidth="1"/>
    <col min="16" max="16" width="9.42578125" style="2" customWidth="1"/>
    <col min="17" max="17" width="8" style="2" customWidth="1"/>
    <col min="18" max="18" width="5" style="2" customWidth="1"/>
    <col min="19" max="19" width="7.85546875" style="2" customWidth="1"/>
    <col min="20" max="20" width="9.85546875" style="2" customWidth="1"/>
    <col min="21" max="21" width="6" style="1" customWidth="1"/>
    <col min="22" max="22" width="9.85546875" style="1" customWidth="1"/>
    <col min="23" max="23" width="4.42578125" style="1" customWidth="1"/>
    <col min="24" max="24" width="8" style="1" customWidth="1"/>
    <col min="25" max="25" width="4.42578125" style="1" customWidth="1"/>
    <col min="26" max="26" width="7.85546875" style="1" customWidth="1"/>
    <col min="27" max="27" width="9.85546875" style="1" customWidth="1"/>
    <col min="28" max="28" width="6" style="1" customWidth="1"/>
    <col min="29" max="29" width="7.85546875" style="1" customWidth="1"/>
    <col min="30" max="30" width="9.85546875" style="1" customWidth="1"/>
    <col min="31" max="31" width="6" style="1" customWidth="1"/>
    <col min="32" max="32" width="7.85546875" style="1" customWidth="1"/>
    <col min="33" max="33" width="9.85546875" style="1" customWidth="1"/>
    <col min="34" max="34" width="6" style="1" customWidth="1"/>
    <col min="35" max="35" width="3.85546875" style="1" customWidth="1"/>
    <col min="36" max="36" width="6.140625" style="1" customWidth="1"/>
    <col min="37" max="38" width="6.28515625" style="1" customWidth="1"/>
    <col min="39" max="39" width="2.42578125" style="1" customWidth="1"/>
    <col min="40" max="40" width="6.7109375" style="1" customWidth="1"/>
    <col min="41" max="41" width="10.140625" style="1" customWidth="1"/>
    <col min="42" max="43" width="3.28515625" style="1" bestFit="1" customWidth="1"/>
    <col min="44" max="49" width="4.42578125" style="1" bestFit="1" customWidth="1"/>
    <col min="50" max="51" width="4.42578125" style="1" customWidth="1"/>
    <col min="52" max="52" width="4.42578125" style="1" bestFit="1" customWidth="1"/>
    <col min="53" max="53" width="7.7109375" style="1" customWidth="1"/>
    <col min="54" max="54" width="4.85546875" style="1" customWidth="1"/>
    <col min="55" max="16384" width="9.42578125" style="1"/>
  </cols>
  <sheetData>
    <row r="1" spans="1:54" ht="15.75" thickBot="1" x14ac:dyDescent="0.3">
      <c r="A1" s="98" t="s">
        <v>1</v>
      </c>
      <c r="B1" s="9"/>
      <c r="C1" s="46"/>
      <c r="D1" s="20" t="s">
        <v>0</v>
      </c>
      <c r="E1" s="23">
        <v>0</v>
      </c>
      <c r="F1" s="9"/>
      <c r="G1" s="9"/>
      <c r="J1" s="9"/>
      <c r="L1" s="9"/>
      <c r="M1" s="9"/>
      <c r="N1" s="9"/>
      <c r="O1" s="9"/>
      <c r="P1" s="9"/>
      <c r="Q1" s="9"/>
      <c r="R1" s="9"/>
      <c r="S1" s="10"/>
      <c r="T1" s="10"/>
      <c r="U1" s="10"/>
      <c r="V1" s="10"/>
      <c r="W1" s="10"/>
      <c r="X1" s="10"/>
      <c r="Y1" s="10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</row>
    <row r="2" spans="1:54" x14ac:dyDescent="0.2">
      <c r="B2" s="9"/>
      <c r="C2" s="46"/>
      <c r="D2" s="20" t="s">
        <v>2</v>
      </c>
      <c r="E2" s="12">
        <f>E$1*101.2686</f>
        <v>0</v>
      </c>
      <c r="F2" s="9"/>
      <c r="J2" s="16" t="s">
        <v>51</v>
      </c>
      <c r="L2" s="9"/>
      <c r="M2" s="9"/>
      <c r="N2" s="9"/>
      <c r="O2" s="9"/>
      <c r="P2" s="24" t="s">
        <v>3</v>
      </c>
      <c r="Q2" s="9"/>
      <c r="R2" s="9"/>
      <c r="S2" s="10"/>
      <c r="T2" s="24" t="s">
        <v>4</v>
      </c>
      <c r="U2" s="10"/>
      <c r="V2" s="10"/>
      <c r="W2" s="10"/>
      <c r="X2" s="10"/>
      <c r="Y2" s="10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85" t="s">
        <v>62</v>
      </c>
      <c r="AO2" s="1">
        <v>0.86897624190064704</v>
      </c>
    </row>
    <row r="3" spans="1:54" s="2" customFormat="1" ht="15" x14ac:dyDescent="0.25">
      <c r="A3" s="10" t="s">
        <v>5</v>
      </c>
      <c r="B3" s="10"/>
      <c r="C3" s="10"/>
      <c r="D3" s="99" t="s">
        <v>6</v>
      </c>
      <c r="E3" s="160" t="s">
        <v>47</v>
      </c>
      <c r="F3" s="161"/>
      <c r="G3" s="80" t="s">
        <v>67</v>
      </c>
      <c r="H3" s="22" t="s">
        <v>56</v>
      </c>
      <c r="I3" s="80" t="s">
        <v>7</v>
      </c>
      <c r="J3" s="2" t="s">
        <v>64</v>
      </c>
      <c r="K3" s="16" t="s">
        <v>8</v>
      </c>
      <c r="L3" s="10"/>
      <c r="M3" s="62" t="s">
        <v>66</v>
      </c>
      <c r="N3" s="10"/>
      <c r="O3" s="10"/>
      <c r="P3" s="17" t="s">
        <v>9</v>
      </c>
      <c r="Q3" s="118" t="s">
        <v>7</v>
      </c>
      <c r="R3" s="118" t="s">
        <v>8</v>
      </c>
      <c r="S3" s="24" t="s">
        <v>10</v>
      </c>
      <c r="T3" s="25" t="s">
        <v>11</v>
      </c>
      <c r="U3" s="24" t="s">
        <v>12</v>
      </c>
      <c r="V3" s="10"/>
      <c r="W3" s="10"/>
      <c r="X3" s="10"/>
      <c r="Y3" s="10"/>
      <c r="Z3" s="10"/>
      <c r="AA3" s="24" t="s">
        <v>4</v>
      </c>
      <c r="AB3" s="10"/>
      <c r="AC3" s="10"/>
      <c r="AD3" s="24" t="s">
        <v>4</v>
      </c>
      <c r="AE3" s="10"/>
      <c r="AF3" s="10"/>
      <c r="AG3" s="24" t="s">
        <v>4</v>
      </c>
      <c r="AH3" s="10"/>
      <c r="AI3" s="10"/>
      <c r="AJ3" s="10"/>
      <c r="AK3" s="10"/>
      <c r="AL3" s="10"/>
      <c r="AN3" s="96" t="s">
        <v>63</v>
      </c>
      <c r="AO3" s="2">
        <f>1.68780985710119*60</f>
        <v>101.2685914260714</v>
      </c>
    </row>
    <row r="4" spans="1:54" s="2" customFormat="1" ht="15" x14ac:dyDescent="0.25">
      <c r="A4" s="10"/>
      <c r="B4" s="10"/>
      <c r="C4" s="10"/>
      <c r="D4" s="100" t="s">
        <v>13</v>
      </c>
      <c r="E4" s="99" t="s">
        <v>48</v>
      </c>
      <c r="F4" s="99" t="s">
        <v>49</v>
      </c>
      <c r="G4" s="22" t="s">
        <v>57</v>
      </c>
      <c r="H4" s="22" t="s">
        <v>57</v>
      </c>
      <c r="I4" s="16" t="s">
        <v>14</v>
      </c>
      <c r="J4" s="16" t="s">
        <v>14</v>
      </c>
      <c r="K4" s="16" t="s">
        <v>14</v>
      </c>
      <c r="L4" s="16" t="s">
        <v>15</v>
      </c>
      <c r="M4" s="62" t="s">
        <v>65</v>
      </c>
      <c r="N4" s="62" t="s">
        <v>55</v>
      </c>
      <c r="O4" s="16" t="s">
        <v>16</v>
      </c>
      <c r="P4" s="16" t="s">
        <v>17</v>
      </c>
      <c r="Q4" s="158" t="s">
        <v>18</v>
      </c>
      <c r="R4" s="146"/>
      <c r="S4" s="17" t="s">
        <v>19</v>
      </c>
      <c r="T4" s="17" t="s">
        <v>20</v>
      </c>
      <c r="U4" s="17" t="s">
        <v>21</v>
      </c>
      <c r="V4" s="16" t="s">
        <v>22</v>
      </c>
      <c r="W4" s="62" t="s">
        <v>23</v>
      </c>
      <c r="X4" s="16" t="s">
        <v>18</v>
      </c>
      <c r="Y4" s="10"/>
      <c r="Z4" s="24" t="s">
        <v>10</v>
      </c>
      <c r="AA4" s="25" t="s">
        <v>11</v>
      </c>
      <c r="AB4" s="24" t="s">
        <v>12</v>
      </c>
      <c r="AC4" s="24" t="s">
        <v>10</v>
      </c>
      <c r="AD4" s="25" t="s">
        <v>11</v>
      </c>
      <c r="AE4" s="24" t="s">
        <v>12</v>
      </c>
      <c r="AF4" s="24" t="s">
        <v>10</v>
      </c>
      <c r="AG4" s="25" t="s">
        <v>11</v>
      </c>
      <c r="AH4" s="24" t="s">
        <v>12</v>
      </c>
      <c r="AI4" s="10"/>
      <c r="AJ4" s="158" t="s">
        <v>42</v>
      </c>
      <c r="AK4" s="159"/>
      <c r="AL4" s="159"/>
      <c r="AM4" s="10"/>
      <c r="AN4" s="145" t="s">
        <v>74</v>
      </c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</row>
    <row r="5" spans="1:54" s="2" customFormat="1" ht="15.75" thickBot="1" x14ac:dyDescent="0.3">
      <c r="A5" s="148" t="s">
        <v>24</v>
      </c>
      <c r="B5" s="41" t="s">
        <v>25</v>
      </c>
      <c r="C5" s="16"/>
      <c r="D5" s="36">
        <v>64</v>
      </c>
      <c r="E5" s="42"/>
      <c r="F5" s="42"/>
      <c r="G5" s="92"/>
      <c r="H5" s="93">
        <f>(AR6+0.4*(AS6-AR6))*$AO$2</f>
        <v>59.26417969762413</v>
      </c>
      <c r="I5" s="27">
        <f t="shared" ref="I5:I16" si="0">H5*$AO$3</f>
        <v>6001.5999999999731</v>
      </c>
      <c r="J5" s="37">
        <f>P5/(Q5/60)</f>
        <v>461.66153846153634</v>
      </c>
      <c r="K5" s="27">
        <f t="shared" ref="K5:K16" si="1">((I5^2-J5^2)^0.5)-E$2</f>
        <v>5983.8174423945293</v>
      </c>
      <c r="L5" s="83">
        <f t="shared" ref="L5:L16" si="2">DEGREES(ATAN(P5/O5))</f>
        <v>4.3987053549955322</v>
      </c>
      <c r="M5" s="149">
        <f>L6-L5</f>
        <v>1.4132198823260165</v>
      </c>
      <c r="N5" s="151">
        <f>M5/L5</f>
        <v>0.3212808697725224</v>
      </c>
      <c r="O5" s="28">
        <f>U5</f>
        <v>650</v>
      </c>
      <c r="P5" s="38">
        <v>50</v>
      </c>
      <c r="Q5" s="30">
        <f>O5/I5*60</f>
        <v>6.4982671287656917</v>
      </c>
      <c r="R5" s="30">
        <f>O5/K5*60</f>
        <v>6.5175785149610892</v>
      </c>
      <c r="S5" s="34">
        <v>735</v>
      </c>
      <c r="T5" s="34">
        <v>1385</v>
      </c>
      <c r="U5" s="35">
        <f t="shared" ref="U5:U10" si="3">T5-S5</f>
        <v>650</v>
      </c>
      <c r="V5" s="34">
        <v>50</v>
      </c>
      <c r="W5" s="43">
        <f t="shared" ref="W5:W10" si="4">DEGREES(ATAN(V5/U5))</f>
        <v>4.3987053549955322</v>
      </c>
      <c r="X5" s="43">
        <f>U5/K5*60</f>
        <v>6.5175785149610892</v>
      </c>
      <c r="Y5" s="15"/>
      <c r="Z5" s="17" t="s">
        <v>19</v>
      </c>
      <c r="AA5" s="17" t="s">
        <v>20</v>
      </c>
      <c r="AB5" s="17" t="s">
        <v>21</v>
      </c>
      <c r="AC5" s="17" t="s">
        <v>19</v>
      </c>
      <c r="AD5" s="17" t="s">
        <v>20</v>
      </c>
      <c r="AE5" s="17" t="s">
        <v>21</v>
      </c>
      <c r="AF5" s="17" t="s">
        <v>19</v>
      </c>
      <c r="AG5" s="17" t="s">
        <v>20</v>
      </c>
      <c r="AH5" s="17" t="s">
        <v>21</v>
      </c>
      <c r="AI5" s="10"/>
      <c r="AJ5" s="44" t="s">
        <v>44</v>
      </c>
      <c r="AK5" s="44" t="s">
        <v>45</v>
      </c>
      <c r="AL5" s="45" t="s">
        <v>46</v>
      </c>
      <c r="AM5" s="10"/>
      <c r="AN5" s="103">
        <f>AR6+(0.4*(AS6-AR6))</f>
        <v>68.2</v>
      </c>
      <c r="AO5" s="104" t="s">
        <v>58</v>
      </c>
      <c r="AP5" s="105">
        <v>40</v>
      </c>
      <c r="AQ5" s="105">
        <v>50</v>
      </c>
      <c r="AR5" s="105">
        <v>60</v>
      </c>
      <c r="AS5" s="105">
        <v>70</v>
      </c>
      <c r="AT5" s="105">
        <v>80</v>
      </c>
      <c r="AU5" s="105">
        <v>90</v>
      </c>
      <c r="AV5" s="105">
        <v>100</v>
      </c>
      <c r="AW5" s="105">
        <v>110</v>
      </c>
      <c r="AX5" s="105">
        <v>120</v>
      </c>
      <c r="AY5" s="105">
        <v>130</v>
      </c>
      <c r="AZ5" s="105">
        <v>140</v>
      </c>
      <c r="BA5" s="167" t="s">
        <v>70</v>
      </c>
    </row>
    <row r="6" spans="1:54" ht="15.75" thickBot="1" x14ac:dyDescent="0.3">
      <c r="A6" s="148"/>
      <c r="B6" s="16" t="s">
        <v>26</v>
      </c>
      <c r="C6" s="16"/>
      <c r="D6" s="18">
        <v>72</v>
      </c>
      <c r="E6" s="20"/>
      <c r="F6" s="20"/>
      <c r="H6" s="101">
        <f>(AS6+0.2*(AT6-AS6))*$AO$2</f>
        <v>64.99942289416839</v>
      </c>
      <c r="I6" s="97">
        <f t="shared" si="0"/>
        <v>6582.3999999999696</v>
      </c>
      <c r="J6" s="6">
        <v>670</v>
      </c>
      <c r="K6" s="19">
        <f t="shared" si="1"/>
        <v>6548.2127149321905</v>
      </c>
      <c r="L6" s="84">
        <f t="shared" si="2"/>
        <v>5.8119252373215486</v>
      </c>
      <c r="M6" s="150"/>
      <c r="N6" s="152"/>
      <c r="O6" s="12">
        <f>U5</f>
        <v>650</v>
      </c>
      <c r="P6" s="13">
        <f>((O6/I6)*J6)</f>
        <v>66.161278561011486</v>
      </c>
      <c r="Q6" s="14">
        <f t="shared" ref="Q5:Q11" si="5">O6/I6*60</f>
        <v>5.9248906174040137</v>
      </c>
      <c r="R6" s="177">
        <f t="shared" ref="R6:R16" si="6">O6/K6*60</f>
        <v>5.955823626661747</v>
      </c>
      <c r="S6" s="52">
        <f>S5*(H6/H5)^2</f>
        <v>884.14151925078033</v>
      </c>
      <c r="T6" s="52">
        <f>S6+V5*K6/J6</f>
        <v>1372.8141099173617</v>
      </c>
      <c r="U6" s="52">
        <f t="shared" si="3"/>
        <v>488.67259066658141</v>
      </c>
      <c r="V6" s="53">
        <v>50</v>
      </c>
      <c r="W6" s="54">
        <f t="shared" si="4"/>
        <v>5.8420591376216642</v>
      </c>
      <c r="X6" s="54">
        <f t="shared" ref="X5:X10" si="7">U6/I6*60</f>
        <v>4.4543563806506778</v>
      </c>
      <c r="Y6" s="10"/>
      <c r="Z6" s="162" t="s">
        <v>27</v>
      </c>
      <c r="AA6" s="163"/>
      <c r="AB6" s="164"/>
      <c r="AC6" s="162" t="s">
        <v>28</v>
      </c>
      <c r="AD6" s="163"/>
      <c r="AE6" s="164"/>
      <c r="AF6" s="174" t="s">
        <v>29</v>
      </c>
      <c r="AG6" s="175"/>
      <c r="AH6" s="176"/>
      <c r="AI6" s="9"/>
      <c r="AJ6" s="46"/>
      <c r="AK6" s="46"/>
      <c r="AL6" s="46"/>
      <c r="AM6" s="9"/>
      <c r="AN6" s="87">
        <f>AS6+(0.2*(AT6-AS6))</f>
        <v>74.8</v>
      </c>
      <c r="AO6" s="94" t="s">
        <v>59</v>
      </c>
      <c r="AP6" s="88">
        <v>51</v>
      </c>
      <c r="AQ6" s="88">
        <v>57</v>
      </c>
      <c r="AR6" s="88">
        <v>65</v>
      </c>
      <c r="AS6" s="88">
        <v>73</v>
      </c>
      <c r="AT6" s="88">
        <v>82</v>
      </c>
      <c r="AU6" s="88">
        <v>91</v>
      </c>
      <c r="AV6" s="88">
        <v>100</v>
      </c>
      <c r="AW6" s="88">
        <v>109</v>
      </c>
      <c r="AX6" s="88">
        <v>118</v>
      </c>
      <c r="AY6" s="88">
        <v>127</v>
      </c>
      <c r="AZ6" s="88">
        <v>136</v>
      </c>
      <c r="BA6" s="168"/>
    </row>
    <row r="7" spans="1:54" s="2" customFormat="1" ht="15.75" thickBot="1" x14ac:dyDescent="0.3">
      <c r="A7" s="148" t="s">
        <v>30</v>
      </c>
      <c r="B7" s="41" t="s">
        <v>25</v>
      </c>
      <c r="C7" s="16"/>
      <c r="D7" s="41"/>
      <c r="E7" s="36">
        <v>50</v>
      </c>
      <c r="F7" s="36">
        <v>54</v>
      </c>
      <c r="G7" s="89">
        <f>(((F7-E7)/2)+E7)</f>
        <v>52</v>
      </c>
      <c r="H7" s="93">
        <f>AQ8+(0.2*(AR8-AQ8))</f>
        <v>54.4</v>
      </c>
      <c r="I7" s="27">
        <f t="shared" si="0"/>
        <v>5509.0113735782834</v>
      </c>
      <c r="J7" s="37">
        <f>P7/(Q7/60)</f>
        <v>447.88710354294983</v>
      </c>
      <c r="K7" s="27">
        <f t="shared" si="1"/>
        <v>5490.7743949915475</v>
      </c>
      <c r="L7" s="83">
        <f t="shared" si="2"/>
        <v>4.6479706913870338</v>
      </c>
      <c r="M7" s="149">
        <f>L8-L7</f>
        <v>1.4412199974924151</v>
      </c>
      <c r="N7" s="151">
        <f>M7/L7</f>
        <v>0.31007510442419128</v>
      </c>
      <c r="O7" s="28">
        <f>U7</f>
        <v>615</v>
      </c>
      <c r="P7" s="38">
        <v>50</v>
      </c>
      <c r="Q7" s="30">
        <f t="shared" si="5"/>
        <v>6.6981165036209109</v>
      </c>
      <c r="R7" s="30">
        <f t="shared" si="6"/>
        <v>6.7203635308088092</v>
      </c>
      <c r="S7" s="40">
        <v>725</v>
      </c>
      <c r="T7" s="40">
        <v>1340</v>
      </c>
      <c r="U7" s="41">
        <f t="shared" si="3"/>
        <v>615</v>
      </c>
      <c r="V7" s="40">
        <v>50</v>
      </c>
      <c r="W7" s="43">
        <f t="shared" si="4"/>
        <v>4.6479706913870338</v>
      </c>
      <c r="X7" s="30">
        <f t="shared" si="7"/>
        <v>6.6981165036209109</v>
      </c>
      <c r="Y7" s="39"/>
      <c r="Z7" s="63">
        <v>695</v>
      </c>
      <c r="AA7" s="64">
        <v>1290</v>
      </c>
      <c r="AB7" s="65">
        <f>AA7-Z7</f>
        <v>595</v>
      </c>
      <c r="AC7" s="63">
        <v>755</v>
      </c>
      <c r="AD7" s="64">
        <v>1390</v>
      </c>
      <c r="AE7" s="65">
        <f>AD7-AC7</f>
        <v>635</v>
      </c>
      <c r="AF7" s="74">
        <f>((AC7-Z7)/2)+Z7</f>
        <v>725</v>
      </c>
      <c r="AG7" s="75">
        <f>((AD7-AA7)/2)+AA7</f>
        <v>1340</v>
      </c>
      <c r="AH7" s="65">
        <f>AG7-AF7</f>
        <v>615</v>
      </c>
      <c r="AI7" s="32"/>
      <c r="AJ7" s="41"/>
      <c r="AK7" s="41"/>
      <c r="AL7" s="41"/>
      <c r="AM7" s="10"/>
      <c r="AN7" s="87">
        <f>AQ8+(0.2*(AR8-AQ8))</f>
        <v>54.4</v>
      </c>
      <c r="AO7" s="94" t="s">
        <v>60</v>
      </c>
      <c r="AP7" s="88">
        <v>40</v>
      </c>
      <c r="AQ7" s="88">
        <v>50</v>
      </c>
      <c r="AR7" s="88">
        <v>60</v>
      </c>
      <c r="AS7" s="88">
        <v>70</v>
      </c>
      <c r="AT7" s="88">
        <v>80</v>
      </c>
      <c r="AU7" s="88">
        <v>90</v>
      </c>
      <c r="AV7" s="88">
        <v>100</v>
      </c>
      <c r="AW7" s="88">
        <v>110</v>
      </c>
      <c r="AX7" s="88">
        <v>120</v>
      </c>
      <c r="AY7" s="88">
        <v>130</v>
      </c>
      <c r="AZ7" s="88">
        <v>140</v>
      </c>
      <c r="BA7" s="169" t="s">
        <v>71</v>
      </c>
    </row>
    <row r="8" spans="1:54" ht="15.75" thickBot="1" x14ac:dyDescent="0.3">
      <c r="A8" s="148"/>
      <c r="B8" s="16" t="s">
        <v>26</v>
      </c>
      <c r="C8" s="16"/>
      <c r="D8" s="80"/>
      <c r="E8" s="18">
        <v>67</v>
      </c>
      <c r="F8" s="20"/>
      <c r="G8" s="86"/>
      <c r="H8" s="101">
        <f>AR8+(0.7*(AS8-AR8))</f>
        <v>66.3</v>
      </c>
      <c r="I8" s="97">
        <f t="shared" si="0"/>
        <v>6714.107611548533</v>
      </c>
      <c r="J8" s="12">
        <f>AL8</f>
        <v>716.25</v>
      </c>
      <c r="K8" s="19">
        <f t="shared" si="1"/>
        <v>6675.7941068425671</v>
      </c>
      <c r="L8" s="84">
        <f t="shared" si="2"/>
        <v>6.0891906888794489</v>
      </c>
      <c r="M8" s="150"/>
      <c r="N8" s="152"/>
      <c r="O8" s="6">
        <v>615</v>
      </c>
      <c r="P8" s="13">
        <f>((O8/I8)*J8)</f>
        <v>65.607192420081731</v>
      </c>
      <c r="Q8" s="14">
        <f t="shared" si="5"/>
        <v>5.4958904645094648</v>
      </c>
      <c r="R8" s="177">
        <f t="shared" si="6"/>
        <v>5.5274323038480428</v>
      </c>
      <c r="S8" s="51">
        <f>S7*(G8/G7)^2</f>
        <v>0</v>
      </c>
      <c r="T8" s="51">
        <f>S8+V7*K8/J8</f>
        <v>466.02402142007446</v>
      </c>
      <c r="U8" s="52">
        <f t="shared" si="3"/>
        <v>466.02402142007446</v>
      </c>
      <c r="V8" s="53">
        <v>50</v>
      </c>
      <c r="W8" s="54">
        <f t="shared" si="4"/>
        <v>6.1238727851929209</v>
      </c>
      <c r="X8" s="54">
        <f t="shared" si="7"/>
        <v>4.1645804480568165</v>
      </c>
      <c r="Y8" s="10"/>
      <c r="Z8" s="66"/>
      <c r="AA8" s="12"/>
      <c r="AB8" s="67"/>
      <c r="AC8" s="66"/>
      <c r="AD8" s="12"/>
      <c r="AE8" s="67"/>
      <c r="AF8" s="66"/>
      <c r="AG8" s="12"/>
      <c r="AH8" s="67"/>
      <c r="AI8" s="9"/>
      <c r="AJ8" s="48">
        <v>765</v>
      </c>
      <c r="AK8" s="48">
        <v>700</v>
      </c>
      <c r="AL8" s="12">
        <f>AJ8-((AJ8-AK8)*0.75)</f>
        <v>716.25</v>
      </c>
      <c r="AM8" s="9"/>
      <c r="AN8" s="87">
        <f>E8+(0.7*(AS8-AR8))</f>
        <v>73.3</v>
      </c>
      <c r="AO8" s="94" t="s">
        <v>61</v>
      </c>
      <c r="AP8" s="88">
        <v>46</v>
      </c>
      <c r="AQ8" s="88">
        <v>53</v>
      </c>
      <c r="AR8" s="88">
        <v>60</v>
      </c>
      <c r="AS8" s="88">
        <v>69</v>
      </c>
      <c r="AT8" s="88">
        <v>78</v>
      </c>
      <c r="AU8" s="88">
        <v>88</v>
      </c>
      <c r="AV8" s="88">
        <v>97</v>
      </c>
      <c r="AW8" s="88">
        <v>107</v>
      </c>
      <c r="AX8" s="88">
        <v>117</v>
      </c>
      <c r="AY8" s="88">
        <v>127</v>
      </c>
      <c r="AZ8" s="88">
        <v>136</v>
      </c>
      <c r="BA8" s="168"/>
    </row>
    <row r="9" spans="1:54" ht="15.75" customHeight="1" thickBot="1" x14ac:dyDescent="0.3">
      <c r="A9" s="147" t="s">
        <v>75</v>
      </c>
      <c r="B9" s="41" t="s">
        <v>25</v>
      </c>
      <c r="C9" s="102" t="s">
        <v>76</v>
      </c>
      <c r="D9" s="41"/>
      <c r="E9" s="36">
        <v>52</v>
      </c>
      <c r="F9" s="36">
        <v>59</v>
      </c>
      <c r="G9" s="89">
        <f>(((F9-E9)/2)+E9)</f>
        <v>55.5</v>
      </c>
      <c r="H9" s="93">
        <f>AQ10+(0.55*(AR10-AQ10))</f>
        <v>58.85</v>
      </c>
      <c r="I9" s="27">
        <f t="shared" ref="I9:I10" si="8">H9*$AO$3</f>
        <v>5959.6566054243021</v>
      </c>
      <c r="J9" s="37">
        <f>P9/(Q9/60)</f>
        <v>469.26429963970884</v>
      </c>
      <c r="K9" s="27">
        <f>((I9^2-J9^2)^0.5)-E$2</f>
        <v>5941.1529076149163</v>
      </c>
      <c r="L9" s="83">
        <f t="shared" ref="L9:L10" si="9">DEGREES(ATAN(P9/O9))</f>
        <v>4.5021894920409746</v>
      </c>
      <c r="M9" s="149">
        <f>L10-L9</f>
        <v>1.2140766065680442</v>
      </c>
      <c r="N9" s="151">
        <f>M9/L9</f>
        <v>0.26966359561593389</v>
      </c>
      <c r="O9" s="28">
        <f>AH9</f>
        <v>635</v>
      </c>
      <c r="P9" s="29">
        <v>50</v>
      </c>
      <c r="Q9" s="30">
        <f t="shared" si="5"/>
        <v>6.3929857913830999</v>
      </c>
      <c r="R9" s="30">
        <f t="shared" si="6"/>
        <v>6.4128967209657795</v>
      </c>
      <c r="S9" s="40">
        <v>725</v>
      </c>
      <c r="T9" s="40">
        <v>1340</v>
      </c>
      <c r="U9" s="41">
        <f t="shared" si="3"/>
        <v>615</v>
      </c>
      <c r="V9" s="40">
        <v>50</v>
      </c>
      <c r="W9" s="30">
        <f t="shared" si="4"/>
        <v>4.6479706913870338</v>
      </c>
      <c r="X9" s="30">
        <f>U9/I9*60</f>
        <v>6.1916319081899314</v>
      </c>
      <c r="Y9" s="39"/>
      <c r="Z9" s="63">
        <v>775</v>
      </c>
      <c r="AA9" s="64">
        <v>1390</v>
      </c>
      <c r="AB9" s="65">
        <f>AA9-Z9</f>
        <v>615</v>
      </c>
      <c r="AC9" s="63">
        <v>835</v>
      </c>
      <c r="AD9" s="64">
        <v>1490</v>
      </c>
      <c r="AE9" s="65">
        <f>AD9-AC9</f>
        <v>655</v>
      </c>
      <c r="AF9" s="74">
        <f>((AC9-Z9)/2)+Z9</f>
        <v>805</v>
      </c>
      <c r="AG9" s="75">
        <f>((AD9-AA9)/2)+AA9</f>
        <v>1440</v>
      </c>
      <c r="AH9" s="65">
        <f>AG9-AF9</f>
        <v>635</v>
      </c>
      <c r="AI9" s="32"/>
      <c r="AJ9" s="41"/>
      <c r="AK9" s="41"/>
      <c r="AL9" s="41"/>
      <c r="AM9" s="9"/>
      <c r="AN9" s="87">
        <f>AQ10+(0.2*(AR10-AQ10))</f>
        <v>56.4</v>
      </c>
      <c r="AO9" s="94" t="s">
        <v>60</v>
      </c>
      <c r="AP9" s="88">
        <v>40</v>
      </c>
      <c r="AQ9" s="88">
        <v>50</v>
      </c>
      <c r="AR9" s="88">
        <v>60</v>
      </c>
      <c r="AS9" s="88">
        <v>70</v>
      </c>
      <c r="AT9" s="88">
        <v>80</v>
      </c>
      <c r="AU9" s="88">
        <v>90</v>
      </c>
      <c r="AV9" s="88">
        <v>100</v>
      </c>
      <c r="AW9" s="88">
        <v>110</v>
      </c>
      <c r="AX9" s="88">
        <v>120</v>
      </c>
      <c r="AY9" s="88">
        <v>130</v>
      </c>
      <c r="AZ9" s="88">
        <v>140</v>
      </c>
      <c r="BA9" s="169" t="s">
        <v>77</v>
      </c>
      <c r="BB9" s="165"/>
    </row>
    <row r="10" spans="1:54" ht="15.75" thickBot="1" x14ac:dyDescent="0.3">
      <c r="A10" s="148"/>
      <c r="B10" s="102" t="s">
        <v>26</v>
      </c>
      <c r="C10" s="102"/>
      <c r="D10" s="102"/>
      <c r="E10" s="18">
        <v>73</v>
      </c>
      <c r="F10" s="20"/>
      <c r="G10" s="86"/>
      <c r="H10" s="101">
        <f>AS10+(0.3*(AT10-AS10))</f>
        <v>73</v>
      </c>
      <c r="I10" s="97">
        <f t="shared" si="8"/>
        <v>7392.6071741032119</v>
      </c>
      <c r="J10" s="12">
        <f>AL10</f>
        <v>740</v>
      </c>
      <c r="K10" s="19">
        <f>((I10^2-J10^2)^0.5)-E$2</f>
        <v>7355.4769274739947</v>
      </c>
      <c r="L10" s="84">
        <f t="shared" si="9"/>
        <v>5.7162660986090188</v>
      </c>
      <c r="M10" s="150"/>
      <c r="N10" s="152"/>
      <c r="O10" s="6">
        <v>615</v>
      </c>
      <c r="P10" s="13">
        <f>((O10/I10)*J10)</f>
        <v>61.561501819580663</v>
      </c>
      <c r="Q10" s="14">
        <f t="shared" si="5"/>
        <v>4.9914731205065408</v>
      </c>
      <c r="R10" s="177">
        <f t="shared" si="6"/>
        <v>5.016669940486393</v>
      </c>
      <c r="S10" s="51">
        <f>S9*(G10/G9)^2</f>
        <v>0</v>
      </c>
      <c r="T10" s="51">
        <f>S10+V9*K10/J10</f>
        <v>496.9916842887834</v>
      </c>
      <c r="U10" s="52">
        <f t="shared" si="3"/>
        <v>496.9916842887834</v>
      </c>
      <c r="V10" s="53">
        <v>50</v>
      </c>
      <c r="W10" s="54">
        <f t="shared" si="4"/>
        <v>5.7449291192412621</v>
      </c>
      <c r="X10" s="54">
        <f t="shared" si="7"/>
        <v>4.033692086573553</v>
      </c>
      <c r="Y10" s="10"/>
      <c r="Z10" s="66"/>
      <c r="AA10" s="12"/>
      <c r="AB10" s="67"/>
      <c r="AC10" s="66"/>
      <c r="AD10" s="12"/>
      <c r="AE10" s="67"/>
      <c r="AF10" s="128"/>
      <c r="AG10" s="129"/>
      <c r="AH10" s="130"/>
      <c r="AI10" s="9"/>
      <c r="AJ10" s="48">
        <v>815</v>
      </c>
      <c r="AK10" s="48">
        <v>715</v>
      </c>
      <c r="AL10" s="12">
        <f>AJ10-((AJ10-AK10)*0.75)</f>
        <v>740</v>
      </c>
      <c r="AM10" s="9"/>
      <c r="AN10" s="87">
        <f>E12+(0.7*(AS10-AR10))</f>
        <v>102.6</v>
      </c>
      <c r="AO10" s="94" t="s">
        <v>61</v>
      </c>
      <c r="AP10" s="88">
        <v>49</v>
      </c>
      <c r="AQ10" s="88">
        <v>55</v>
      </c>
      <c r="AR10" s="88">
        <v>62</v>
      </c>
      <c r="AS10" s="88">
        <v>70</v>
      </c>
      <c r="AT10" s="88">
        <v>80</v>
      </c>
      <c r="AU10" s="88">
        <v>89</v>
      </c>
      <c r="AV10" s="88">
        <v>99</v>
      </c>
      <c r="AW10" s="88">
        <v>108</v>
      </c>
      <c r="AX10" s="88">
        <v>118</v>
      </c>
      <c r="AY10" s="88">
        <v>128</v>
      </c>
      <c r="AZ10" s="88">
        <v>138</v>
      </c>
      <c r="BA10" s="168"/>
      <c r="BB10" s="166"/>
    </row>
    <row r="11" spans="1:54" ht="15.75" thickBot="1" x14ac:dyDescent="0.3">
      <c r="A11" s="153" t="s">
        <v>50</v>
      </c>
      <c r="B11" s="41" t="s">
        <v>25</v>
      </c>
      <c r="C11" s="156" t="s">
        <v>39</v>
      </c>
      <c r="D11" s="95"/>
      <c r="E11" s="26">
        <v>72</v>
      </c>
      <c r="F11" s="26">
        <v>78</v>
      </c>
      <c r="G11" s="89">
        <f t="shared" ref="G11:G16" si="10">(((F11-E11)/2)+E11)</f>
        <v>75</v>
      </c>
      <c r="H11" s="93">
        <f>AQ14+(0.5*(AR14-AQ14))</f>
        <v>75</v>
      </c>
      <c r="I11" s="27">
        <f t="shared" si="0"/>
        <v>7595.1443569553549</v>
      </c>
      <c r="J11" s="28">
        <f>P11/(Q11/60)</f>
        <v>440.29822359161477</v>
      </c>
      <c r="K11" s="27">
        <f t="shared" si="1"/>
        <v>7582.3713492081642</v>
      </c>
      <c r="L11" s="83">
        <f t="shared" si="2"/>
        <v>3.3177811683348435</v>
      </c>
      <c r="M11" s="149">
        <f>L12-L11</f>
        <v>2.0047772309838643</v>
      </c>
      <c r="N11" s="151">
        <f>M11/L11</f>
        <v>0.60425239919908258</v>
      </c>
      <c r="O11" s="28">
        <f>AH11</f>
        <v>862.5</v>
      </c>
      <c r="P11" s="29">
        <v>50</v>
      </c>
      <c r="Q11" s="30">
        <f t="shared" si="5"/>
        <v>6.8135637149028314</v>
      </c>
      <c r="R11" s="30">
        <f t="shared" si="6"/>
        <v>6.8250416151675708</v>
      </c>
      <c r="S11" s="41"/>
      <c r="T11" s="41"/>
      <c r="U11" s="41"/>
      <c r="V11" s="41"/>
      <c r="W11" s="41"/>
      <c r="X11" s="41"/>
      <c r="Y11" s="32"/>
      <c r="Z11" s="68">
        <v>1245</v>
      </c>
      <c r="AA11" s="33">
        <v>2065</v>
      </c>
      <c r="AB11" s="69">
        <f>AA11-Z11</f>
        <v>820</v>
      </c>
      <c r="AC11" s="68">
        <v>1360</v>
      </c>
      <c r="AD11" s="33">
        <v>2265</v>
      </c>
      <c r="AE11" s="69">
        <f>AD11-AC11</f>
        <v>905</v>
      </c>
      <c r="AF11" s="134">
        <f>((AC11-Z11)/2)+Z11</f>
        <v>1302.5</v>
      </c>
      <c r="AG11" s="135">
        <f>((AD11-AA11)/2)+AA11</f>
        <v>2165</v>
      </c>
      <c r="AH11" s="136">
        <f>AG11-AF11</f>
        <v>862.5</v>
      </c>
      <c r="AI11" s="31"/>
      <c r="AJ11" s="47"/>
      <c r="AK11" s="47"/>
      <c r="AL11" s="47"/>
      <c r="AM11" s="9"/>
      <c r="AN11" s="87">
        <f>AR12-AQ12</f>
        <v>19</v>
      </c>
      <c r="AO11" s="94" t="s">
        <v>60</v>
      </c>
      <c r="AP11" s="88">
        <v>60</v>
      </c>
      <c r="AQ11" s="88">
        <v>80</v>
      </c>
      <c r="AR11" s="88">
        <v>100</v>
      </c>
      <c r="AS11" s="88">
        <v>120</v>
      </c>
      <c r="AT11" s="88">
        <v>140</v>
      </c>
      <c r="AU11" s="88">
        <v>160</v>
      </c>
      <c r="AV11" s="88">
        <v>180</v>
      </c>
      <c r="AW11" s="88">
        <v>200</v>
      </c>
      <c r="AX11" s="171" t="s">
        <v>69</v>
      </c>
      <c r="AY11" s="172"/>
      <c r="AZ11" s="170" t="s">
        <v>72</v>
      </c>
      <c r="BB11" s="166"/>
    </row>
    <row r="12" spans="1:54" ht="15.75" thickBot="1" x14ac:dyDescent="0.3">
      <c r="A12" s="154"/>
      <c r="B12" s="16" t="s">
        <v>26</v>
      </c>
      <c r="C12" s="155"/>
      <c r="D12" s="81"/>
      <c r="E12" s="21">
        <v>97</v>
      </c>
      <c r="F12" s="21">
        <v>103</v>
      </c>
      <c r="G12" s="90">
        <f t="shared" si="10"/>
        <v>100</v>
      </c>
      <c r="H12" s="101">
        <f>AR12</f>
        <v>99</v>
      </c>
      <c r="I12" s="97">
        <f t="shared" si="0"/>
        <v>10025.590551181069</v>
      </c>
      <c r="J12" s="12">
        <f>AL12</f>
        <v>930</v>
      </c>
      <c r="K12" s="19">
        <f t="shared" si="1"/>
        <v>9982.3627413519262</v>
      </c>
      <c r="L12" s="84">
        <f t="shared" si="2"/>
        <v>5.3225583993187078</v>
      </c>
      <c r="M12" s="155"/>
      <c r="N12" s="155"/>
      <c r="O12" s="12">
        <f>K12*Q12/60</f>
        <v>536.68616888988856</v>
      </c>
      <c r="P12" s="7">
        <v>50</v>
      </c>
      <c r="Q12" s="14">
        <f>(P12/J12)*60</f>
        <v>3.2258064516129035</v>
      </c>
      <c r="R12" s="177">
        <f t="shared" si="6"/>
        <v>3.2258064516129039</v>
      </c>
      <c r="S12" s="55">
        <f>AF11*(G12/G11)^2</f>
        <v>2315.5555555555552</v>
      </c>
      <c r="T12" s="55">
        <f>S12+V12*K12/J12</f>
        <v>2852.2417244454437</v>
      </c>
      <c r="U12" s="56">
        <f>T12-S12</f>
        <v>536.68616888988845</v>
      </c>
      <c r="V12" s="57">
        <v>50</v>
      </c>
      <c r="W12" s="58">
        <f>DEGREES(ATAN(V12/U12))</f>
        <v>5.3225583993187087</v>
      </c>
      <c r="X12" s="58">
        <f>U12/I12*60</f>
        <v>3.2118975903718545</v>
      </c>
      <c r="Y12" s="10"/>
      <c r="Z12" s="70"/>
      <c r="AA12" s="6"/>
      <c r="AB12" s="67"/>
      <c r="AC12" s="70"/>
      <c r="AD12" s="6"/>
      <c r="AE12" s="67"/>
      <c r="AF12" s="131"/>
      <c r="AG12" s="132"/>
      <c r="AH12" s="133"/>
      <c r="AI12" s="9"/>
      <c r="AJ12" s="6">
        <v>1035</v>
      </c>
      <c r="AK12" s="6">
        <v>895</v>
      </c>
      <c r="AL12" s="12">
        <f>AJ12-((AJ12-AK12)*0.75)</f>
        <v>930</v>
      </c>
      <c r="AM12" s="9"/>
      <c r="AN12" s="87"/>
      <c r="AO12" s="94" t="s">
        <v>61</v>
      </c>
      <c r="AP12" s="88">
        <v>60</v>
      </c>
      <c r="AQ12" s="88">
        <v>80</v>
      </c>
      <c r="AR12" s="88">
        <v>99</v>
      </c>
      <c r="AS12" s="88">
        <v>119</v>
      </c>
      <c r="AT12" s="88">
        <v>139</v>
      </c>
      <c r="AU12" s="88">
        <v>158</v>
      </c>
      <c r="AV12" s="88">
        <v>177</v>
      </c>
      <c r="AW12" s="88">
        <v>196</v>
      </c>
      <c r="AX12" s="173"/>
      <c r="AY12" s="172"/>
      <c r="AZ12" s="168"/>
      <c r="BB12" s="166"/>
    </row>
    <row r="13" spans="1:54" ht="15.75" thickBot="1" x14ac:dyDescent="0.3">
      <c r="A13" s="154"/>
      <c r="B13" s="41" t="s">
        <v>25</v>
      </c>
      <c r="C13" s="148" t="s">
        <v>40</v>
      </c>
      <c r="D13" s="95"/>
      <c r="E13" s="26">
        <v>69</v>
      </c>
      <c r="F13" s="26">
        <v>75</v>
      </c>
      <c r="G13" s="89">
        <f t="shared" si="10"/>
        <v>72</v>
      </c>
      <c r="H13" s="93">
        <f>G13</f>
        <v>72</v>
      </c>
      <c r="I13" s="27">
        <f t="shared" si="0"/>
        <v>7291.3385826771409</v>
      </c>
      <c r="J13" s="28">
        <f>P13/(Q13/60)</f>
        <v>517.11621153738588</v>
      </c>
      <c r="K13" s="27">
        <f t="shared" si="1"/>
        <v>7272.9780111726941</v>
      </c>
      <c r="L13" s="83">
        <f t="shared" si="2"/>
        <v>4.0567378612948799</v>
      </c>
      <c r="M13" s="149">
        <f>L14-L13</f>
        <v>2.0497215998239211</v>
      </c>
      <c r="N13" s="151">
        <f>M13/L13</f>
        <v>0.50526350725793889</v>
      </c>
      <c r="O13" s="28">
        <f>AH13</f>
        <v>705</v>
      </c>
      <c r="P13" s="29">
        <v>50</v>
      </c>
      <c r="Q13" s="30">
        <f>O13/I13*60</f>
        <v>5.8014038876890037</v>
      </c>
      <c r="R13" s="30">
        <f t="shared" si="6"/>
        <v>5.8160494827592029</v>
      </c>
      <c r="S13" s="41"/>
      <c r="T13" s="41"/>
      <c r="U13" s="41"/>
      <c r="V13" s="41"/>
      <c r="W13" s="41"/>
      <c r="X13" s="41"/>
      <c r="Y13" s="32"/>
      <c r="Z13" s="68">
        <v>1035</v>
      </c>
      <c r="AA13" s="33">
        <v>1705</v>
      </c>
      <c r="AB13" s="69">
        <f>AA13-Z13</f>
        <v>670</v>
      </c>
      <c r="AC13" s="68">
        <v>1125</v>
      </c>
      <c r="AD13" s="33">
        <v>1865</v>
      </c>
      <c r="AE13" s="69">
        <f>AD13-AC13</f>
        <v>740</v>
      </c>
      <c r="AF13" s="76">
        <f>((AC13-Z13)/2)+Z13</f>
        <v>1080</v>
      </c>
      <c r="AG13" s="28">
        <f>((AD13-AA13)/2)+AA13</f>
        <v>1785</v>
      </c>
      <c r="AH13" s="69">
        <f>AG13-AF13</f>
        <v>705</v>
      </c>
      <c r="AI13" s="31"/>
      <c r="AJ13" s="28"/>
      <c r="AK13" s="28"/>
      <c r="AL13" s="28"/>
      <c r="AM13" s="9"/>
      <c r="AN13" s="87"/>
      <c r="AO13" s="94" t="s">
        <v>60</v>
      </c>
      <c r="AP13" s="88">
        <v>60</v>
      </c>
      <c r="AQ13" s="88">
        <v>70</v>
      </c>
      <c r="AR13" s="88">
        <v>80</v>
      </c>
      <c r="AS13" s="88">
        <v>90</v>
      </c>
      <c r="AT13" s="88">
        <v>100</v>
      </c>
      <c r="AU13" s="88">
        <v>120</v>
      </c>
      <c r="AV13" s="88">
        <v>140</v>
      </c>
      <c r="AW13" s="88">
        <v>160</v>
      </c>
      <c r="AX13" s="171" t="s">
        <v>68</v>
      </c>
      <c r="AY13" s="172"/>
      <c r="AZ13" s="168"/>
    </row>
    <row r="14" spans="1:54" ht="15.75" thickBot="1" x14ac:dyDescent="0.3">
      <c r="A14" s="154"/>
      <c r="B14" s="16" t="s">
        <v>26</v>
      </c>
      <c r="C14" s="157"/>
      <c r="D14" s="81"/>
      <c r="E14" s="21">
        <v>96</v>
      </c>
      <c r="F14" s="21">
        <v>102</v>
      </c>
      <c r="G14" s="90">
        <f t="shared" si="10"/>
        <v>99</v>
      </c>
      <c r="H14" s="101">
        <f>AQ12+((19/20)*(AR12-AQ12))</f>
        <v>98.05</v>
      </c>
      <c r="I14" s="97">
        <f t="shared" si="0"/>
        <v>9929.3853893263004</v>
      </c>
      <c r="J14" s="12">
        <f>AL14</f>
        <v>1056.25</v>
      </c>
      <c r="K14" s="19">
        <f t="shared" si="1"/>
        <v>9873.0456368471532</v>
      </c>
      <c r="L14" s="84">
        <f t="shared" si="2"/>
        <v>6.106459461118801</v>
      </c>
      <c r="M14" s="150"/>
      <c r="N14" s="152"/>
      <c r="O14" s="12">
        <f>K14*Q14/60</f>
        <v>467.36310706968766</v>
      </c>
      <c r="P14" s="7">
        <v>50</v>
      </c>
      <c r="Q14" s="14">
        <f>(P14/J14)*60</f>
        <v>2.8402366863905324</v>
      </c>
      <c r="R14" s="177">
        <f t="shared" si="6"/>
        <v>2.840236686390532</v>
      </c>
      <c r="S14" s="55">
        <f>AF13*(G14/G13)^2</f>
        <v>2041.875</v>
      </c>
      <c r="T14" s="55">
        <f>S14+V14*K14/J14</f>
        <v>2509.2381070696879</v>
      </c>
      <c r="U14" s="56">
        <f>T14-S14</f>
        <v>467.36310706968789</v>
      </c>
      <c r="V14" s="57">
        <v>50</v>
      </c>
      <c r="W14" s="58">
        <f>DEGREES(ATAN(V14/U14))</f>
        <v>6.1064594611187983</v>
      </c>
      <c r="X14" s="58">
        <f>U14/I14*60</f>
        <v>2.824121063356559</v>
      </c>
      <c r="Y14" s="10"/>
      <c r="Z14" s="70"/>
      <c r="AA14" s="6"/>
      <c r="AB14" s="67"/>
      <c r="AC14" s="70"/>
      <c r="AD14" s="6"/>
      <c r="AE14" s="67"/>
      <c r="AF14" s="66"/>
      <c r="AG14" s="12"/>
      <c r="AH14" s="67"/>
      <c r="AI14" s="9"/>
      <c r="AJ14" s="6">
        <v>1165</v>
      </c>
      <c r="AK14" s="6">
        <v>1020</v>
      </c>
      <c r="AL14" s="12">
        <f>AJ14-((AJ14-AK14)*0.75)</f>
        <v>1056.25</v>
      </c>
      <c r="AM14" s="9"/>
      <c r="AN14" s="87"/>
      <c r="AO14" s="94" t="s">
        <v>61</v>
      </c>
      <c r="AP14" s="88">
        <v>60</v>
      </c>
      <c r="AQ14" s="88">
        <v>70</v>
      </c>
      <c r="AR14" s="88">
        <v>80</v>
      </c>
      <c r="AS14" s="88">
        <v>90</v>
      </c>
      <c r="AT14" s="88">
        <v>99</v>
      </c>
      <c r="AU14" s="88">
        <v>119</v>
      </c>
      <c r="AV14" s="88">
        <v>138</v>
      </c>
      <c r="AW14" s="88">
        <v>158</v>
      </c>
      <c r="AX14" s="173"/>
      <c r="AY14" s="172"/>
      <c r="AZ14" s="168"/>
    </row>
    <row r="15" spans="1:54" ht="15.75" thickBot="1" x14ac:dyDescent="0.3">
      <c r="A15" s="154"/>
      <c r="B15" s="41" t="s">
        <v>25</v>
      </c>
      <c r="C15" s="148" t="s">
        <v>41</v>
      </c>
      <c r="D15" s="95"/>
      <c r="E15" s="26">
        <v>66</v>
      </c>
      <c r="F15" s="26">
        <v>72</v>
      </c>
      <c r="G15" s="89">
        <f t="shared" si="10"/>
        <v>69</v>
      </c>
      <c r="H15" s="93">
        <v>69</v>
      </c>
      <c r="I15" s="27">
        <f t="shared" si="0"/>
        <v>6987.5328083989261</v>
      </c>
      <c r="J15" s="28">
        <f>P15/(Q15/60)</f>
        <v>602.37351796542464</v>
      </c>
      <c r="K15" s="27">
        <f t="shared" si="1"/>
        <v>6961.520013136882</v>
      </c>
      <c r="L15" s="83">
        <f t="shared" si="2"/>
        <v>4.9271099476490141</v>
      </c>
      <c r="M15" s="149">
        <f>L16-L15</f>
        <v>2.1632275272121291</v>
      </c>
      <c r="N15" s="151">
        <f>M15/L15</f>
        <v>0.43904592148269794</v>
      </c>
      <c r="O15" s="28">
        <f>AH15</f>
        <v>580</v>
      </c>
      <c r="P15" s="29">
        <v>50</v>
      </c>
      <c r="Q15" s="30">
        <f>O15/I15*60</f>
        <v>4.9802986195887113</v>
      </c>
      <c r="R15" s="30">
        <f t="shared" si="6"/>
        <v>4.9989082749643661</v>
      </c>
      <c r="S15" s="41"/>
      <c r="T15" s="41"/>
      <c r="U15" s="41"/>
      <c r="V15" s="41"/>
      <c r="W15" s="41"/>
      <c r="X15" s="41"/>
      <c r="Y15" s="32"/>
      <c r="Z15" s="71">
        <v>850</v>
      </c>
      <c r="AA15" s="72">
        <v>1405</v>
      </c>
      <c r="AB15" s="73">
        <f>AA15-Z15</f>
        <v>555</v>
      </c>
      <c r="AC15" s="71">
        <v>925</v>
      </c>
      <c r="AD15" s="72">
        <v>1530</v>
      </c>
      <c r="AE15" s="73">
        <f>AD15-AC15</f>
        <v>605</v>
      </c>
      <c r="AF15" s="77">
        <f>((AC15-Z15)/2)+Z15</f>
        <v>887.5</v>
      </c>
      <c r="AG15" s="78">
        <f>((AD15-AA15)/2)+AA15</f>
        <v>1467.5</v>
      </c>
      <c r="AH15" s="73">
        <f>AG15-AF15</f>
        <v>580</v>
      </c>
      <c r="AI15" s="31"/>
      <c r="AJ15" s="28"/>
      <c r="AK15" s="28"/>
      <c r="AL15" s="28"/>
      <c r="AM15" s="9"/>
      <c r="AO15" s="91"/>
    </row>
    <row r="16" spans="1:54" ht="15.75" thickBot="1" x14ac:dyDescent="0.3">
      <c r="A16" s="155"/>
      <c r="B16" s="16" t="s">
        <v>26</v>
      </c>
      <c r="C16" s="157"/>
      <c r="D16" s="81"/>
      <c r="E16" s="21">
        <v>94</v>
      </c>
      <c r="F16" s="21">
        <v>100</v>
      </c>
      <c r="G16" s="90">
        <f t="shared" si="10"/>
        <v>97</v>
      </c>
      <c r="H16" s="101">
        <f>AS14+(0.7*(AT14-AS14))</f>
        <v>96.3</v>
      </c>
      <c r="I16" s="97">
        <f t="shared" si="0"/>
        <v>9752.1653543306747</v>
      </c>
      <c r="J16" s="12">
        <f>AL16</f>
        <v>1203.75</v>
      </c>
      <c r="K16" s="19">
        <f t="shared" si="1"/>
        <v>9677.5882861231257</v>
      </c>
      <c r="L16" s="84">
        <f t="shared" si="2"/>
        <v>7.0903374748611432</v>
      </c>
      <c r="M16" s="150"/>
      <c r="N16" s="152"/>
      <c r="O16" s="12">
        <f>K16*Q16/60</f>
        <v>401.97666816710807</v>
      </c>
      <c r="P16" s="7">
        <v>50</v>
      </c>
      <c r="Q16" s="14">
        <f>(P16/J16)*60</f>
        <v>2.4922118380062308</v>
      </c>
      <c r="R16" s="177">
        <f t="shared" si="6"/>
        <v>2.4922118380062308</v>
      </c>
      <c r="S16" s="55">
        <f>AF15*(G16/G15)^2</f>
        <v>1753.9356227683261</v>
      </c>
      <c r="T16" s="55">
        <f>S16+V16*K16/J16</f>
        <v>2155.9122909354342</v>
      </c>
      <c r="U16" s="56">
        <f>T16-S16</f>
        <v>401.97666816710807</v>
      </c>
      <c r="V16" s="57">
        <v>50</v>
      </c>
      <c r="W16" s="58">
        <f>DEGREES(ATAN(V16/U16))</f>
        <v>7.0903374748611432</v>
      </c>
      <c r="X16" s="58">
        <f>U16/I16*60</f>
        <v>2.4731533165930233</v>
      </c>
      <c r="Y16" s="10"/>
      <c r="Z16" s="11"/>
      <c r="AA16" s="11"/>
      <c r="AB16" s="11"/>
      <c r="AC16" s="11"/>
      <c r="AD16" s="11"/>
      <c r="AE16" s="11"/>
      <c r="AF16" s="11"/>
      <c r="AG16" s="11"/>
      <c r="AH16" s="11"/>
      <c r="AI16" s="9"/>
      <c r="AJ16" s="6">
        <v>1320</v>
      </c>
      <c r="AK16" s="6">
        <v>1165</v>
      </c>
      <c r="AL16" s="12">
        <f>AJ16-((AJ16-AK16)*0.75)</f>
        <v>1203.75</v>
      </c>
    </row>
    <row r="17" spans="3:38" ht="15" thickBot="1" x14ac:dyDescent="0.25">
      <c r="G17" s="91"/>
      <c r="H17" s="91"/>
      <c r="Y17" s="10"/>
      <c r="Z17" s="11"/>
      <c r="AA17" s="11"/>
      <c r="AB17" s="11"/>
      <c r="AC17" s="11"/>
      <c r="AD17" s="11"/>
      <c r="AE17" s="127" t="s">
        <v>129</v>
      </c>
      <c r="AF17" s="137">
        <v>1300</v>
      </c>
      <c r="AG17" s="138">
        <v>2160</v>
      </c>
      <c r="AH17" s="139">
        <f>AG17-AF17</f>
        <v>860</v>
      </c>
      <c r="AI17" s="2">
        <v>50</v>
      </c>
      <c r="AJ17" s="30">
        <f>DEGREES(ATAN(AI17/AH17))</f>
        <v>3.3274042417265695</v>
      </c>
      <c r="AK17" s="9"/>
      <c r="AL17" s="9"/>
    </row>
    <row r="18" spans="3:38" x14ac:dyDescent="0.2">
      <c r="C18" s="61"/>
      <c r="D18" s="1" t="s">
        <v>54</v>
      </c>
      <c r="S18" s="82"/>
      <c r="AF18" s="79">
        <f>AF11-AF17</f>
        <v>2.5</v>
      </c>
      <c r="AG18" s="79">
        <f>AG11-AG17</f>
        <v>5</v>
      </c>
      <c r="AH18" s="79">
        <f>AH11-AH17</f>
        <v>2.5</v>
      </c>
    </row>
    <row r="19" spans="3:38" x14ac:dyDescent="0.2">
      <c r="C19" s="59"/>
      <c r="D19" s="1" t="s">
        <v>52</v>
      </c>
      <c r="S19" s="82"/>
    </row>
    <row r="20" spans="3:38" x14ac:dyDescent="0.2">
      <c r="C20" s="60"/>
      <c r="D20" s="1" t="s">
        <v>53</v>
      </c>
      <c r="S20" s="82"/>
      <c r="Z20" s="126"/>
      <c r="AA20" s="109"/>
      <c r="AB20" s="109"/>
      <c r="AC20" s="109"/>
    </row>
    <row r="21" spans="3:38" x14ac:dyDescent="0.2">
      <c r="C21" s="8" t="s">
        <v>31</v>
      </c>
      <c r="D21" s="1" t="s">
        <v>43</v>
      </c>
      <c r="M21" s="2"/>
      <c r="S21" s="82"/>
      <c r="T21" s="49"/>
      <c r="U21" s="49"/>
      <c r="AD21" s="109"/>
      <c r="AE21" s="109"/>
      <c r="AF21" s="109"/>
    </row>
    <row r="22" spans="3:38" x14ac:dyDescent="0.2">
      <c r="C22" s="4"/>
      <c r="D22" s="1" t="s">
        <v>32</v>
      </c>
      <c r="M22" s="2"/>
      <c r="S22" s="82"/>
      <c r="T22" s="50"/>
      <c r="U22" s="49"/>
    </row>
    <row r="23" spans="3:38" ht="15" x14ac:dyDescent="0.25">
      <c r="C23" s="3" t="s">
        <v>31</v>
      </c>
      <c r="D23" s="1" t="s">
        <v>33</v>
      </c>
      <c r="M23" s="2"/>
      <c r="S23" s="82"/>
      <c r="T23" s="49"/>
      <c r="U23" s="49"/>
    </row>
    <row r="24" spans="3:38" x14ac:dyDescent="0.2">
      <c r="C24" s="2" t="s">
        <v>31</v>
      </c>
      <c r="D24" s="1" t="s">
        <v>34</v>
      </c>
      <c r="M24" s="2"/>
      <c r="S24" s="82"/>
      <c r="T24" s="49"/>
      <c r="U24" s="49"/>
    </row>
    <row r="25" spans="3:38" x14ac:dyDescent="0.2">
      <c r="M25" s="2"/>
      <c r="S25" s="82"/>
      <c r="T25" s="49"/>
      <c r="U25" s="49"/>
    </row>
    <row r="26" spans="3:38" x14ac:dyDescent="0.2">
      <c r="C26" s="1" t="s">
        <v>35</v>
      </c>
      <c r="M26" s="2"/>
      <c r="S26" s="82"/>
      <c r="T26" s="49"/>
      <c r="U26" s="49"/>
    </row>
    <row r="27" spans="3:38" x14ac:dyDescent="0.2">
      <c r="C27" s="1">
        <v>1</v>
      </c>
      <c r="D27" s="1" t="s">
        <v>36</v>
      </c>
      <c r="M27" s="2"/>
      <c r="S27" s="82"/>
      <c r="T27" s="49"/>
      <c r="U27" s="49"/>
    </row>
    <row r="28" spans="3:38" x14ac:dyDescent="0.2">
      <c r="C28" s="1">
        <v>2</v>
      </c>
      <c r="D28" s="1" t="s">
        <v>107</v>
      </c>
      <c r="M28" s="2"/>
      <c r="S28" s="82"/>
      <c r="T28" s="49"/>
      <c r="U28" s="49"/>
    </row>
    <row r="29" spans="3:38" x14ac:dyDescent="0.2">
      <c r="M29" s="2"/>
      <c r="T29" s="1"/>
    </row>
    <row r="30" spans="3:38" ht="15" x14ac:dyDescent="0.25">
      <c r="C30" s="120" t="s">
        <v>109</v>
      </c>
      <c r="D30" s="120"/>
      <c r="E30" s="120"/>
      <c r="F30" s="120"/>
      <c r="M30" s="2"/>
      <c r="T30" s="1"/>
    </row>
    <row r="31" spans="3:38" ht="15" x14ac:dyDescent="0.25">
      <c r="D31" s="1" t="s">
        <v>105</v>
      </c>
      <c r="M31" s="2"/>
      <c r="T31" s="1"/>
    </row>
    <row r="32" spans="3:38" x14ac:dyDescent="0.2">
      <c r="D32" s="1" t="s">
        <v>106</v>
      </c>
      <c r="M32" s="2"/>
      <c r="T32" s="1"/>
    </row>
    <row r="33" spans="3:35" x14ac:dyDescent="0.2">
      <c r="M33" s="2"/>
      <c r="T33" s="1"/>
    </row>
    <row r="34" spans="3:35" x14ac:dyDescent="0.2">
      <c r="D34" s="1" t="s">
        <v>144</v>
      </c>
      <c r="M34" s="2"/>
      <c r="T34" s="1"/>
    </row>
    <row r="35" spans="3:35" x14ac:dyDescent="0.2">
      <c r="M35" s="2"/>
      <c r="T35" s="1"/>
    </row>
    <row r="36" spans="3:35" x14ac:dyDescent="0.2">
      <c r="D36" s="1" t="s">
        <v>37</v>
      </c>
      <c r="M36" s="2"/>
      <c r="T36" s="1"/>
    </row>
    <row r="37" spans="3:35" ht="15" x14ac:dyDescent="0.25">
      <c r="D37" s="119" t="s">
        <v>38</v>
      </c>
      <c r="M37" s="2"/>
      <c r="T37" s="1"/>
    </row>
    <row r="38" spans="3:35" x14ac:dyDescent="0.2">
      <c r="M38" s="2"/>
      <c r="T38" s="1"/>
    </row>
    <row r="39" spans="3:35" ht="15" x14ac:dyDescent="0.25">
      <c r="D39" s="5" t="s">
        <v>108</v>
      </c>
      <c r="T39" s="1"/>
    </row>
    <row r="42" spans="3:35" ht="15" x14ac:dyDescent="0.25">
      <c r="C42" s="120" t="s">
        <v>110</v>
      </c>
    </row>
    <row r="43" spans="3:35" x14ac:dyDescent="0.2">
      <c r="D43" s="1" t="s">
        <v>135</v>
      </c>
    </row>
    <row r="45" spans="3:35" ht="15" x14ac:dyDescent="0.25">
      <c r="D45" s="120" t="s">
        <v>111</v>
      </c>
    </row>
    <row r="47" spans="3:35" ht="15" x14ac:dyDescent="0.25">
      <c r="D47" s="120" t="s">
        <v>140</v>
      </c>
      <c r="AA47" s="121"/>
      <c r="AB47" s="121"/>
      <c r="AC47" s="121"/>
    </row>
    <row r="48" spans="3:35" ht="15" x14ac:dyDescent="0.2">
      <c r="D48" s="140" t="s">
        <v>113</v>
      </c>
      <c r="E48" s="141"/>
      <c r="F48" s="141"/>
      <c r="G48" s="141"/>
      <c r="H48" s="141"/>
      <c r="I48" s="141"/>
      <c r="AD48"/>
      <c r="AE48"/>
      <c r="AF48"/>
      <c r="AG48"/>
      <c r="AH48"/>
      <c r="AI48"/>
    </row>
    <row r="49" spans="4:35" ht="15.75" x14ac:dyDescent="0.2">
      <c r="D49" s="123" t="s">
        <v>136</v>
      </c>
      <c r="E49" s="141"/>
      <c r="F49" s="141"/>
      <c r="G49" s="141"/>
      <c r="H49" s="141"/>
      <c r="I49" s="141"/>
      <c r="AG49"/>
      <c r="AH49"/>
      <c r="AI49"/>
    </row>
    <row r="50" spans="4:35" ht="15.75" x14ac:dyDescent="0.2">
      <c r="D50" s="123" t="s">
        <v>137</v>
      </c>
      <c r="E50" s="141"/>
      <c r="F50" s="141"/>
      <c r="G50" s="141"/>
      <c r="H50" s="141"/>
      <c r="I50" s="141"/>
      <c r="AG50"/>
      <c r="AH50"/>
      <c r="AI50"/>
    </row>
    <row r="51" spans="4:35" ht="15.75" x14ac:dyDescent="0.2">
      <c r="D51" s="123" t="s">
        <v>138</v>
      </c>
      <c r="E51" s="141"/>
      <c r="F51" s="141"/>
      <c r="G51" s="141"/>
      <c r="H51" s="141"/>
      <c r="I51" s="141"/>
      <c r="AG51"/>
      <c r="AH51"/>
      <c r="AI51"/>
    </row>
    <row r="52" spans="4:35" ht="15.75" x14ac:dyDescent="0.2">
      <c r="D52" s="123" t="s">
        <v>139</v>
      </c>
      <c r="E52" s="141"/>
      <c r="F52" s="141"/>
      <c r="G52" s="141"/>
      <c r="H52" s="141"/>
      <c r="I52" s="141"/>
      <c r="AG52"/>
      <c r="AH52"/>
      <c r="AI52"/>
    </row>
    <row r="53" spans="4:35" ht="15" x14ac:dyDescent="0.2">
      <c r="D53" s="140"/>
      <c r="E53" s="141"/>
      <c r="F53" s="141"/>
      <c r="G53" s="141"/>
      <c r="H53" s="141"/>
      <c r="I53" s="141"/>
      <c r="AG53"/>
      <c r="AH53"/>
      <c r="AI53"/>
    </row>
    <row r="54" spans="4:35" ht="15" x14ac:dyDescent="0.2">
      <c r="D54" s="140" t="s">
        <v>134</v>
      </c>
      <c r="E54" s="141"/>
      <c r="F54" s="141"/>
      <c r="G54" s="141"/>
      <c r="H54" s="141"/>
      <c r="I54" s="141"/>
      <c r="P54" s="2" t="s">
        <v>99</v>
      </c>
      <c r="Q54" s="2" t="s">
        <v>128</v>
      </c>
      <c r="R54" s="1"/>
      <c r="S54" s="1"/>
      <c r="T54" s="1"/>
      <c r="AG54"/>
      <c r="AH54"/>
      <c r="AI54"/>
    </row>
    <row r="55" spans="4:35" ht="15" x14ac:dyDescent="0.2">
      <c r="D55" s="140" t="s">
        <v>114</v>
      </c>
      <c r="E55" s="141"/>
      <c r="F55" s="141"/>
      <c r="G55" s="141"/>
      <c r="H55" s="141"/>
      <c r="I55" s="141"/>
      <c r="P55" s="1">
        <v>41</v>
      </c>
      <c r="Q55" s="91">
        <f>(((P55-AP$9)/(AQ$9-AP$9))*(AQ$10-AP$10))+AP$10</f>
        <v>49.6</v>
      </c>
      <c r="R55" s="1" t="s">
        <v>127</v>
      </c>
      <c r="S55" s="1"/>
      <c r="T55" s="1"/>
      <c r="AG55"/>
      <c r="AH55"/>
      <c r="AI55"/>
    </row>
    <row r="56" spans="4:35" ht="15" x14ac:dyDescent="0.2">
      <c r="D56" s="140" t="s">
        <v>115</v>
      </c>
      <c r="E56" s="141"/>
      <c r="F56" s="141"/>
      <c r="G56" s="141"/>
      <c r="H56" s="141"/>
      <c r="I56" s="141"/>
      <c r="P56" s="1">
        <v>41.7</v>
      </c>
      <c r="Q56" s="91">
        <f>(((P56-AP$9)/(AQ$9-AP$9))*(AQ$10-AP$10))+AP$10</f>
        <v>50.02</v>
      </c>
      <c r="R56" s="1" t="s">
        <v>100</v>
      </c>
      <c r="S56" s="1"/>
      <c r="T56" s="1"/>
      <c r="AG56"/>
      <c r="AH56"/>
      <c r="AI56"/>
    </row>
    <row r="57" spans="4:35" ht="15" x14ac:dyDescent="0.2">
      <c r="D57" s="140" t="s">
        <v>116</v>
      </c>
      <c r="E57" s="141"/>
      <c r="F57" s="141"/>
      <c r="G57" s="141"/>
      <c r="H57" s="141"/>
      <c r="I57" s="141"/>
      <c r="P57" s="1">
        <v>42</v>
      </c>
      <c r="Q57" s="91">
        <f>(((P57-AP$9)/(AQ$9-AP$9))*(AQ$10-AP$10))+AP$10</f>
        <v>50.2</v>
      </c>
      <c r="R57" s="1" t="s">
        <v>104</v>
      </c>
      <c r="S57" s="1"/>
      <c r="T57" s="1"/>
      <c r="AG57"/>
      <c r="AH57"/>
      <c r="AI57"/>
    </row>
    <row r="58" spans="4:35" ht="15" x14ac:dyDescent="0.2">
      <c r="D58" s="140" t="s">
        <v>117</v>
      </c>
      <c r="E58" s="141"/>
      <c r="F58" s="141"/>
      <c r="G58" s="141"/>
      <c r="H58" s="141"/>
      <c r="I58" s="141"/>
      <c r="P58" s="1">
        <v>47</v>
      </c>
      <c r="Q58" s="91">
        <f>(((P58-AP$9)/(AQ$9-AP$9))*(AQ$10-AP$10))+AP$10</f>
        <v>53.2</v>
      </c>
      <c r="R58" s="1" t="s">
        <v>103</v>
      </c>
      <c r="S58" s="1"/>
      <c r="T58" s="1"/>
      <c r="AG58"/>
      <c r="AH58"/>
      <c r="AI58"/>
    </row>
    <row r="59" spans="4:35" ht="15" x14ac:dyDescent="0.2">
      <c r="D59" s="140"/>
      <c r="E59" s="141"/>
      <c r="F59" s="141"/>
      <c r="G59" s="141"/>
      <c r="H59" s="141"/>
      <c r="I59" s="141"/>
      <c r="P59" s="1">
        <v>52</v>
      </c>
      <c r="Q59" s="91">
        <f>(((P59-AQ$9)/(AR$9-AQ$9))*(AR$10-AQ$10))+AQ$10</f>
        <v>56.4</v>
      </c>
      <c r="R59" s="1" t="s">
        <v>112</v>
      </c>
      <c r="S59" s="1"/>
      <c r="T59" s="1"/>
      <c r="AG59"/>
      <c r="AH59"/>
      <c r="AI59"/>
    </row>
    <row r="60" spans="4:35" ht="15" x14ac:dyDescent="0.2">
      <c r="D60" s="140" t="s">
        <v>118</v>
      </c>
      <c r="E60" s="141"/>
      <c r="F60" s="141"/>
      <c r="G60" s="141"/>
      <c r="H60" s="141"/>
      <c r="I60" s="141"/>
      <c r="P60" s="1">
        <v>55</v>
      </c>
      <c r="Q60" s="91">
        <f>(((P60-AQ$9)/(AR$9-AQ$9))*(AR$10-AQ$10))+AQ$10</f>
        <v>58.5</v>
      </c>
      <c r="R60" s="1" t="s">
        <v>101</v>
      </c>
      <c r="S60" s="1"/>
      <c r="T60" s="1"/>
      <c r="AG60"/>
      <c r="AH60"/>
      <c r="AI60"/>
    </row>
    <row r="61" spans="4:35" ht="15" x14ac:dyDescent="0.2">
      <c r="D61" s="140" t="s">
        <v>119</v>
      </c>
      <c r="E61" s="141"/>
      <c r="F61" s="141"/>
      <c r="G61" s="141"/>
      <c r="H61" s="141"/>
      <c r="I61" s="141"/>
      <c r="P61" s="1">
        <v>59</v>
      </c>
      <c r="Q61" s="91">
        <f>(((P61-AQ$9)/(AR$9-AQ$9))*(AR$10-AQ$10))+AQ$10</f>
        <v>61.3</v>
      </c>
      <c r="R61" s="1" t="s">
        <v>102</v>
      </c>
      <c r="S61" s="1"/>
      <c r="T61" s="1"/>
      <c r="AG61"/>
      <c r="AH61"/>
      <c r="AI61"/>
    </row>
    <row r="62" spans="4:35" ht="15" x14ac:dyDescent="0.2">
      <c r="D62" s="140" t="s">
        <v>132</v>
      </c>
      <c r="E62" s="141"/>
      <c r="F62" s="141"/>
      <c r="G62" s="141"/>
      <c r="H62" s="141"/>
      <c r="I62" s="141"/>
      <c r="P62" s="1">
        <v>73</v>
      </c>
      <c r="Q62" s="91">
        <f>(((P62-AS$9)/(AT$9-AS$9))*(AT$10-AS$10))+AS$10</f>
        <v>73</v>
      </c>
      <c r="R62" s="1" t="s">
        <v>130</v>
      </c>
      <c r="S62" s="1"/>
      <c r="T62" s="1"/>
      <c r="AG62"/>
      <c r="AH62"/>
      <c r="AI62"/>
    </row>
    <row r="63" spans="4:35" ht="15" x14ac:dyDescent="0.2">
      <c r="D63" s="140" t="s">
        <v>131</v>
      </c>
      <c r="E63" s="141"/>
      <c r="F63" s="141"/>
      <c r="G63" s="141"/>
      <c r="H63" s="141"/>
      <c r="I63" s="141"/>
      <c r="AG63"/>
      <c r="AH63"/>
      <c r="AI63"/>
    </row>
    <row r="64" spans="4:35" ht="15" x14ac:dyDescent="0.2">
      <c r="D64" s="140"/>
      <c r="E64" s="141"/>
      <c r="F64" s="141"/>
      <c r="G64" s="141"/>
      <c r="H64" s="141"/>
      <c r="I64" s="141"/>
      <c r="AG64"/>
      <c r="AH64"/>
      <c r="AI64"/>
    </row>
    <row r="65" spans="3:35" ht="15" x14ac:dyDescent="0.2">
      <c r="D65" s="140" t="s">
        <v>133</v>
      </c>
      <c r="E65" s="141"/>
      <c r="F65" s="141"/>
      <c r="G65" s="141"/>
      <c r="H65" s="141"/>
      <c r="I65" s="141"/>
      <c r="AG65"/>
      <c r="AH65"/>
      <c r="AI65"/>
    </row>
    <row r="66" spans="3:35" ht="15" x14ac:dyDescent="0.2">
      <c r="D66" s="140"/>
      <c r="E66" s="141"/>
      <c r="F66" s="141"/>
      <c r="G66" s="141"/>
      <c r="H66" s="141"/>
      <c r="I66" s="141"/>
      <c r="AG66"/>
      <c r="AH66"/>
      <c r="AI66"/>
    </row>
    <row r="67" spans="3:35" ht="15.75" x14ac:dyDescent="0.2">
      <c r="D67" s="144" t="s">
        <v>120</v>
      </c>
      <c r="E67" s="141"/>
      <c r="F67" s="141"/>
      <c r="G67" s="141"/>
      <c r="H67" s="141"/>
      <c r="I67" s="141"/>
      <c r="AG67"/>
      <c r="AH67"/>
      <c r="AI67"/>
    </row>
    <row r="68" spans="3:35" x14ac:dyDescent="0.2">
      <c r="D68" s="124" t="s">
        <v>121</v>
      </c>
      <c r="E68" s="141"/>
      <c r="F68" s="141"/>
      <c r="G68" s="141"/>
      <c r="H68" s="141"/>
      <c r="I68" s="141"/>
      <c r="AG68"/>
      <c r="AH68"/>
      <c r="AI68"/>
    </row>
    <row r="69" spans="3:35" ht="15" x14ac:dyDescent="0.2">
      <c r="D69" s="125" t="s">
        <v>122</v>
      </c>
      <c r="E69" s="141"/>
      <c r="F69" s="141"/>
      <c r="G69" s="141"/>
      <c r="H69" s="141"/>
      <c r="I69" s="141"/>
      <c r="AG69"/>
      <c r="AH69"/>
      <c r="AI69"/>
    </row>
    <row r="70" spans="3:35" ht="15" x14ac:dyDescent="0.2">
      <c r="D70" s="125" t="s">
        <v>123</v>
      </c>
      <c r="E70" s="141"/>
      <c r="F70" s="141"/>
      <c r="G70" s="142"/>
      <c r="H70" s="141"/>
      <c r="I70" s="141"/>
      <c r="AG70"/>
      <c r="AH70"/>
      <c r="AI70"/>
    </row>
    <row r="71" spans="3:35" ht="15" x14ac:dyDescent="0.2">
      <c r="D71" s="125" t="s">
        <v>124</v>
      </c>
      <c r="E71" s="141"/>
      <c r="F71" s="141"/>
      <c r="G71" s="141"/>
      <c r="H71" s="141"/>
      <c r="I71" s="141"/>
      <c r="AG71"/>
      <c r="AH71"/>
      <c r="AI71"/>
    </row>
    <row r="72" spans="3:35" ht="15" x14ac:dyDescent="0.2">
      <c r="D72" s="125" t="s">
        <v>125</v>
      </c>
      <c r="E72" s="141"/>
      <c r="F72" s="141"/>
      <c r="G72" s="141"/>
      <c r="H72" s="141"/>
      <c r="I72" s="141"/>
      <c r="AG72"/>
      <c r="AH72"/>
      <c r="AI72"/>
    </row>
    <row r="73" spans="3:35" ht="15" x14ac:dyDescent="0.2">
      <c r="D73" s="125" t="s">
        <v>126</v>
      </c>
      <c r="E73" s="141"/>
      <c r="F73" s="141"/>
      <c r="G73" s="141"/>
      <c r="H73" s="141"/>
      <c r="I73" s="141"/>
      <c r="AG73"/>
      <c r="AH73"/>
      <c r="AI73"/>
    </row>
    <row r="74" spans="3:35" ht="15" x14ac:dyDescent="0.2">
      <c r="AA74" s="122"/>
      <c r="AB74"/>
      <c r="AC74"/>
      <c r="AG74"/>
      <c r="AH74"/>
      <c r="AI74"/>
    </row>
    <row r="75" spans="3:35" ht="15" x14ac:dyDescent="0.25">
      <c r="C75" s="143" t="s">
        <v>143</v>
      </c>
      <c r="AD75"/>
      <c r="AE75"/>
      <c r="AF75"/>
      <c r="AG75"/>
      <c r="AH75"/>
      <c r="AI75"/>
    </row>
  </sheetData>
  <sheetProtection selectLockedCells="1" selectUnlockedCells="1"/>
  <mergeCells count="33">
    <mergeCell ref="Q4:R4"/>
    <mergeCell ref="AJ4:AL4"/>
    <mergeCell ref="E3:F3"/>
    <mergeCell ref="Z6:AB6"/>
    <mergeCell ref="BB9:BB12"/>
    <mergeCell ref="M15:M16"/>
    <mergeCell ref="M13:M14"/>
    <mergeCell ref="M7:M8"/>
    <mergeCell ref="M5:M6"/>
    <mergeCell ref="BA5:BA6"/>
    <mergeCell ref="BA7:BA8"/>
    <mergeCell ref="AZ11:AZ14"/>
    <mergeCell ref="AX11:AY12"/>
    <mergeCell ref="AX13:AY14"/>
    <mergeCell ref="BA9:BA10"/>
    <mergeCell ref="AC6:AE6"/>
    <mergeCell ref="AF6:AH6"/>
    <mergeCell ref="AN4:BA4"/>
    <mergeCell ref="A9:A10"/>
    <mergeCell ref="M9:M10"/>
    <mergeCell ref="N9:N10"/>
    <mergeCell ref="A11:A16"/>
    <mergeCell ref="C11:C12"/>
    <mergeCell ref="N11:N12"/>
    <mergeCell ref="M11:M12"/>
    <mergeCell ref="C13:C14"/>
    <mergeCell ref="C15:C16"/>
    <mergeCell ref="N5:N6"/>
    <mergeCell ref="N7:N8"/>
    <mergeCell ref="N13:N14"/>
    <mergeCell ref="N15:N16"/>
    <mergeCell ref="A5:A6"/>
    <mergeCell ref="A7:A8"/>
  </mergeCells>
  <pageMargins left="0.7" right="0.7" top="0.75" bottom="0.75" header="0.51180555555555551" footer="0.51180555555555551"/>
  <pageSetup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zoomScale="125" zoomScaleNormal="125" workbookViewId="0">
      <selection activeCell="Q16" sqref="Q16"/>
    </sheetView>
  </sheetViews>
  <sheetFormatPr defaultColWidth="11.5703125" defaultRowHeight="12.75" x14ac:dyDescent="0.2"/>
  <cols>
    <col min="1" max="1" width="15.28515625" style="109" customWidth="1"/>
    <col min="2" max="2" width="6" customWidth="1"/>
    <col min="3" max="4" width="6.28515625" customWidth="1"/>
    <col min="5" max="5" width="5.5703125" customWidth="1"/>
    <col min="6" max="6" width="12.28515625" style="109" customWidth="1"/>
    <col min="7" max="7" width="5.28515625" customWidth="1"/>
    <col min="8" max="8" width="7.42578125" customWidth="1"/>
    <col min="9" max="9" width="6.28515625" customWidth="1"/>
    <col min="10" max="10" width="5.140625" customWidth="1"/>
    <col min="11" max="11" width="5.7109375" customWidth="1"/>
    <col min="12" max="12" width="6.140625" customWidth="1"/>
    <col min="13" max="13" width="11.5703125" style="111"/>
    <col min="14" max="14" width="11.5703125" style="109"/>
    <col min="16" max="16" width="14.28515625" customWidth="1"/>
    <col min="17" max="17" width="14" customWidth="1"/>
    <col min="257" max="257" width="15.28515625" customWidth="1"/>
    <col min="258" max="258" width="6" customWidth="1"/>
    <col min="259" max="260" width="6.28515625" customWidth="1"/>
    <col min="261" max="261" width="5.5703125" customWidth="1"/>
    <col min="262" max="262" width="12.28515625" customWidth="1"/>
    <col min="263" max="263" width="5.28515625" customWidth="1"/>
    <col min="264" max="264" width="7.42578125" customWidth="1"/>
    <col min="265" max="265" width="6.28515625" customWidth="1"/>
    <col min="266" max="266" width="5.140625" customWidth="1"/>
    <col min="267" max="267" width="5.7109375" customWidth="1"/>
    <col min="268" max="268" width="6.140625" customWidth="1"/>
    <col min="272" max="272" width="14.28515625" customWidth="1"/>
    <col min="273" max="273" width="14" customWidth="1"/>
    <col min="513" max="513" width="15.28515625" customWidth="1"/>
    <col min="514" max="514" width="6" customWidth="1"/>
    <col min="515" max="516" width="6.28515625" customWidth="1"/>
    <col min="517" max="517" width="5.5703125" customWidth="1"/>
    <col min="518" max="518" width="12.28515625" customWidth="1"/>
    <col min="519" max="519" width="5.28515625" customWidth="1"/>
    <col min="520" max="520" width="7.42578125" customWidth="1"/>
    <col min="521" max="521" width="6.28515625" customWidth="1"/>
    <col min="522" max="522" width="5.140625" customWidth="1"/>
    <col min="523" max="523" width="5.7109375" customWidth="1"/>
    <col min="524" max="524" width="6.140625" customWidth="1"/>
    <col min="528" max="528" width="14.28515625" customWidth="1"/>
    <col min="529" max="529" width="14" customWidth="1"/>
    <col min="769" max="769" width="15.28515625" customWidth="1"/>
    <col min="770" max="770" width="6" customWidth="1"/>
    <col min="771" max="772" width="6.28515625" customWidth="1"/>
    <col min="773" max="773" width="5.5703125" customWidth="1"/>
    <col min="774" max="774" width="12.28515625" customWidth="1"/>
    <col min="775" max="775" width="5.28515625" customWidth="1"/>
    <col min="776" max="776" width="7.42578125" customWidth="1"/>
    <col min="777" max="777" width="6.28515625" customWidth="1"/>
    <col min="778" max="778" width="5.140625" customWidth="1"/>
    <col min="779" max="779" width="5.7109375" customWidth="1"/>
    <col min="780" max="780" width="6.140625" customWidth="1"/>
    <col min="784" max="784" width="14.28515625" customWidth="1"/>
    <col min="785" max="785" width="14" customWidth="1"/>
    <col min="1025" max="1025" width="15.28515625" customWidth="1"/>
    <col min="1026" max="1026" width="6" customWidth="1"/>
    <col min="1027" max="1028" width="6.28515625" customWidth="1"/>
    <col min="1029" max="1029" width="5.5703125" customWidth="1"/>
    <col min="1030" max="1030" width="12.28515625" customWidth="1"/>
    <col min="1031" max="1031" width="5.28515625" customWidth="1"/>
    <col min="1032" max="1032" width="7.42578125" customWidth="1"/>
    <col min="1033" max="1033" width="6.28515625" customWidth="1"/>
    <col min="1034" max="1034" width="5.140625" customWidth="1"/>
    <col min="1035" max="1035" width="5.7109375" customWidth="1"/>
    <col min="1036" max="1036" width="6.140625" customWidth="1"/>
    <col min="1040" max="1040" width="14.28515625" customWidth="1"/>
    <col min="1041" max="1041" width="14" customWidth="1"/>
    <col min="1281" max="1281" width="15.28515625" customWidth="1"/>
    <col min="1282" max="1282" width="6" customWidth="1"/>
    <col min="1283" max="1284" width="6.28515625" customWidth="1"/>
    <col min="1285" max="1285" width="5.5703125" customWidth="1"/>
    <col min="1286" max="1286" width="12.28515625" customWidth="1"/>
    <col min="1287" max="1287" width="5.28515625" customWidth="1"/>
    <col min="1288" max="1288" width="7.42578125" customWidth="1"/>
    <col min="1289" max="1289" width="6.28515625" customWidth="1"/>
    <col min="1290" max="1290" width="5.140625" customWidth="1"/>
    <col min="1291" max="1291" width="5.7109375" customWidth="1"/>
    <col min="1292" max="1292" width="6.140625" customWidth="1"/>
    <col min="1296" max="1296" width="14.28515625" customWidth="1"/>
    <col min="1297" max="1297" width="14" customWidth="1"/>
    <col min="1537" max="1537" width="15.28515625" customWidth="1"/>
    <col min="1538" max="1538" width="6" customWidth="1"/>
    <col min="1539" max="1540" width="6.28515625" customWidth="1"/>
    <col min="1541" max="1541" width="5.5703125" customWidth="1"/>
    <col min="1542" max="1542" width="12.28515625" customWidth="1"/>
    <col min="1543" max="1543" width="5.28515625" customWidth="1"/>
    <col min="1544" max="1544" width="7.42578125" customWidth="1"/>
    <col min="1545" max="1545" width="6.28515625" customWidth="1"/>
    <col min="1546" max="1546" width="5.140625" customWidth="1"/>
    <col min="1547" max="1547" width="5.7109375" customWidth="1"/>
    <col min="1548" max="1548" width="6.140625" customWidth="1"/>
    <col min="1552" max="1552" width="14.28515625" customWidth="1"/>
    <col min="1553" max="1553" width="14" customWidth="1"/>
    <col min="1793" max="1793" width="15.28515625" customWidth="1"/>
    <col min="1794" max="1794" width="6" customWidth="1"/>
    <col min="1795" max="1796" width="6.28515625" customWidth="1"/>
    <col min="1797" max="1797" width="5.5703125" customWidth="1"/>
    <col min="1798" max="1798" width="12.28515625" customWidth="1"/>
    <col min="1799" max="1799" width="5.28515625" customWidth="1"/>
    <col min="1800" max="1800" width="7.42578125" customWidth="1"/>
    <col min="1801" max="1801" width="6.28515625" customWidth="1"/>
    <col min="1802" max="1802" width="5.140625" customWidth="1"/>
    <col min="1803" max="1803" width="5.7109375" customWidth="1"/>
    <col min="1804" max="1804" width="6.140625" customWidth="1"/>
    <col min="1808" max="1808" width="14.28515625" customWidth="1"/>
    <col min="1809" max="1809" width="14" customWidth="1"/>
    <col min="2049" max="2049" width="15.28515625" customWidth="1"/>
    <col min="2050" max="2050" width="6" customWidth="1"/>
    <col min="2051" max="2052" width="6.28515625" customWidth="1"/>
    <col min="2053" max="2053" width="5.5703125" customWidth="1"/>
    <col min="2054" max="2054" width="12.28515625" customWidth="1"/>
    <col min="2055" max="2055" width="5.28515625" customWidth="1"/>
    <col min="2056" max="2056" width="7.42578125" customWidth="1"/>
    <col min="2057" max="2057" width="6.28515625" customWidth="1"/>
    <col min="2058" max="2058" width="5.140625" customWidth="1"/>
    <col min="2059" max="2059" width="5.7109375" customWidth="1"/>
    <col min="2060" max="2060" width="6.140625" customWidth="1"/>
    <col min="2064" max="2064" width="14.28515625" customWidth="1"/>
    <col min="2065" max="2065" width="14" customWidth="1"/>
    <col min="2305" max="2305" width="15.28515625" customWidth="1"/>
    <col min="2306" max="2306" width="6" customWidth="1"/>
    <col min="2307" max="2308" width="6.28515625" customWidth="1"/>
    <col min="2309" max="2309" width="5.5703125" customWidth="1"/>
    <col min="2310" max="2310" width="12.28515625" customWidth="1"/>
    <col min="2311" max="2311" width="5.28515625" customWidth="1"/>
    <col min="2312" max="2312" width="7.42578125" customWidth="1"/>
    <col min="2313" max="2313" width="6.28515625" customWidth="1"/>
    <col min="2314" max="2314" width="5.140625" customWidth="1"/>
    <col min="2315" max="2315" width="5.7109375" customWidth="1"/>
    <col min="2316" max="2316" width="6.140625" customWidth="1"/>
    <col min="2320" max="2320" width="14.28515625" customWidth="1"/>
    <col min="2321" max="2321" width="14" customWidth="1"/>
    <col min="2561" max="2561" width="15.28515625" customWidth="1"/>
    <col min="2562" max="2562" width="6" customWidth="1"/>
    <col min="2563" max="2564" width="6.28515625" customWidth="1"/>
    <col min="2565" max="2565" width="5.5703125" customWidth="1"/>
    <col min="2566" max="2566" width="12.28515625" customWidth="1"/>
    <col min="2567" max="2567" width="5.28515625" customWidth="1"/>
    <col min="2568" max="2568" width="7.42578125" customWidth="1"/>
    <col min="2569" max="2569" width="6.28515625" customWidth="1"/>
    <col min="2570" max="2570" width="5.140625" customWidth="1"/>
    <col min="2571" max="2571" width="5.7109375" customWidth="1"/>
    <col min="2572" max="2572" width="6.140625" customWidth="1"/>
    <col min="2576" max="2576" width="14.28515625" customWidth="1"/>
    <col min="2577" max="2577" width="14" customWidth="1"/>
    <col min="2817" max="2817" width="15.28515625" customWidth="1"/>
    <col min="2818" max="2818" width="6" customWidth="1"/>
    <col min="2819" max="2820" width="6.28515625" customWidth="1"/>
    <col min="2821" max="2821" width="5.5703125" customWidth="1"/>
    <col min="2822" max="2822" width="12.28515625" customWidth="1"/>
    <col min="2823" max="2823" width="5.28515625" customWidth="1"/>
    <col min="2824" max="2824" width="7.42578125" customWidth="1"/>
    <col min="2825" max="2825" width="6.28515625" customWidth="1"/>
    <col min="2826" max="2826" width="5.140625" customWidth="1"/>
    <col min="2827" max="2827" width="5.7109375" customWidth="1"/>
    <col min="2828" max="2828" width="6.140625" customWidth="1"/>
    <col min="2832" max="2832" width="14.28515625" customWidth="1"/>
    <col min="2833" max="2833" width="14" customWidth="1"/>
    <col min="3073" max="3073" width="15.28515625" customWidth="1"/>
    <col min="3074" max="3074" width="6" customWidth="1"/>
    <col min="3075" max="3076" width="6.28515625" customWidth="1"/>
    <col min="3077" max="3077" width="5.5703125" customWidth="1"/>
    <col min="3078" max="3078" width="12.28515625" customWidth="1"/>
    <col min="3079" max="3079" width="5.28515625" customWidth="1"/>
    <col min="3080" max="3080" width="7.42578125" customWidth="1"/>
    <col min="3081" max="3081" width="6.28515625" customWidth="1"/>
    <col min="3082" max="3082" width="5.140625" customWidth="1"/>
    <col min="3083" max="3083" width="5.7109375" customWidth="1"/>
    <col min="3084" max="3084" width="6.140625" customWidth="1"/>
    <col min="3088" max="3088" width="14.28515625" customWidth="1"/>
    <col min="3089" max="3089" width="14" customWidth="1"/>
    <col min="3329" max="3329" width="15.28515625" customWidth="1"/>
    <col min="3330" max="3330" width="6" customWidth="1"/>
    <col min="3331" max="3332" width="6.28515625" customWidth="1"/>
    <col min="3333" max="3333" width="5.5703125" customWidth="1"/>
    <col min="3334" max="3334" width="12.28515625" customWidth="1"/>
    <col min="3335" max="3335" width="5.28515625" customWidth="1"/>
    <col min="3336" max="3336" width="7.42578125" customWidth="1"/>
    <col min="3337" max="3337" width="6.28515625" customWidth="1"/>
    <col min="3338" max="3338" width="5.140625" customWidth="1"/>
    <col min="3339" max="3339" width="5.7109375" customWidth="1"/>
    <col min="3340" max="3340" width="6.140625" customWidth="1"/>
    <col min="3344" max="3344" width="14.28515625" customWidth="1"/>
    <col min="3345" max="3345" width="14" customWidth="1"/>
    <col min="3585" max="3585" width="15.28515625" customWidth="1"/>
    <col min="3586" max="3586" width="6" customWidth="1"/>
    <col min="3587" max="3588" width="6.28515625" customWidth="1"/>
    <col min="3589" max="3589" width="5.5703125" customWidth="1"/>
    <col min="3590" max="3590" width="12.28515625" customWidth="1"/>
    <col min="3591" max="3591" width="5.28515625" customWidth="1"/>
    <col min="3592" max="3592" width="7.42578125" customWidth="1"/>
    <col min="3593" max="3593" width="6.28515625" customWidth="1"/>
    <col min="3594" max="3594" width="5.140625" customWidth="1"/>
    <col min="3595" max="3595" width="5.7109375" customWidth="1"/>
    <col min="3596" max="3596" width="6.140625" customWidth="1"/>
    <col min="3600" max="3600" width="14.28515625" customWidth="1"/>
    <col min="3601" max="3601" width="14" customWidth="1"/>
    <col min="3841" max="3841" width="15.28515625" customWidth="1"/>
    <col min="3842" max="3842" width="6" customWidth="1"/>
    <col min="3843" max="3844" width="6.28515625" customWidth="1"/>
    <col min="3845" max="3845" width="5.5703125" customWidth="1"/>
    <col min="3846" max="3846" width="12.28515625" customWidth="1"/>
    <col min="3847" max="3847" width="5.28515625" customWidth="1"/>
    <col min="3848" max="3848" width="7.42578125" customWidth="1"/>
    <col min="3849" max="3849" width="6.28515625" customWidth="1"/>
    <col min="3850" max="3850" width="5.140625" customWidth="1"/>
    <col min="3851" max="3851" width="5.7109375" customWidth="1"/>
    <col min="3852" max="3852" width="6.140625" customWidth="1"/>
    <col min="3856" max="3856" width="14.28515625" customWidth="1"/>
    <col min="3857" max="3857" width="14" customWidth="1"/>
    <col min="4097" max="4097" width="15.28515625" customWidth="1"/>
    <col min="4098" max="4098" width="6" customWidth="1"/>
    <col min="4099" max="4100" width="6.28515625" customWidth="1"/>
    <col min="4101" max="4101" width="5.5703125" customWidth="1"/>
    <col min="4102" max="4102" width="12.28515625" customWidth="1"/>
    <col min="4103" max="4103" width="5.28515625" customWidth="1"/>
    <col min="4104" max="4104" width="7.42578125" customWidth="1"/>
    <col min="4105" max="4105" width="6.28515625" customWidth="1"/>
    <col min="4106" max="4106" width="5.140625" customWidth="1"/>
    <col min="4107" max="4107" width="5.7109375" customWidth="1"/>
    <col min="4108" max="4108" width="6.140625" customWidth="1"/>
    <col min="4112" max="4112" width="14.28515625" customWidth="1"/>
    <col min="4113" max="4113" width="14" customWidth="1"/>
    <col min="4353" max="4353" width="15.28515625" customWidth="1"/>
    <col min="4354" max="4354" width="6" customWidth="1"/>
    <col min="4355" max="4356" width="6.28515625" customWidth="1"/>
    <col min="4357" max="4357" width="5.5703125" customWidth="1"/>
    <col min="4358" max="4358" width="12.28515625" customWidth="1"/>
    <col min="4359" max="4359" width="5.28515625" customWidth="1"/>
    <col min="4360" max="4360" width="7.42578125" customWidth="1"/>
    <col min="4361" max="4361" width="6.28515625" customWidth="1"/>
    <col min="4362" max="4362" width="5.140625" customWidth="1"/>
    <col min="4363" max="4363" width="5.7109375" customWidth="1"/>
    <col min="4364" max="4364" width="6.140625" customWidth="1"/>
    <col min="4368" max="4368" width="14.28515625" customWidth="1"/>
    <col min="4369" max="4369" width="14" customWidth="1"/>
    <col min="4609" max="4609" width="15.28515625" customWidth="1"/>
    <col min="4610" max="4610" width="6" customWidth="1"/>
    <col min="4611" max="4612" width="6.28515625" customWidth="1"/>
    <col min="4613" max="4613" width="5.5703125" customWidth="1"/>
    <col min="4614" max="4614" width="12.28515625" customWidth="1"/>
    <col min="4615" max="4615" width="5.28515625" customWidth="1"/>
    <col min="4616" max="4616" width="7.42578125" customWidth="1"/>
    <col min="4617" max="4617" width="6.28515625" customWidth="1"/>
    <col min="4618" max="4618" width="5.140625" customWidth="1"/>
    <col min="4619" max="4619" width="5.7109375" customWidth="1"/>
    <col min="4620" max="4620" width="6.140625" customWidth="1"/>
    <col min="4624" max="4624" width="14.28515625" customWidth="1"/>
    <col min="4625" max="4625" width="14" customWidth="1"/>
    <col min="4865" max="4865" width="15.28515625" customWidth="1"/>
    <col min="4866" max="4866" width="6" customWidth="1"/>
    <col min="4867" max="4868" width="6.28515625" customWidth="1"/>
    <col min="4869" max="4869" width="5.5703125" customWidth="1"/>
    <col min="4870" max="4870" width="12.28515625" customWidth="1"/>
    <col min="4871" max="4871" width="5.28515625" customWidth="1"/>
    <col min="4872" max="4872" width="7.42578125" customWidth="1"/>
    <col min="4873" max="4873" width="6.28515625" customWidth="1"/>
    <col min="4874" max="4874" width="5.140625" customWidth="1"/>
    <col min="4875" max="4875" width="5.7109375" customWidth="1"/>
    <col min="4876" max="4876" width="6.140625" customWidth="1"/>
    <col min="4880" max="4880" width="14.28515625" customWidth="1"/>
    <col min="4881" max="4881" width="14" customWidth="1"/>
    <col min="5121" max="5121" width="15.28515625" customWidth="1"/>
    <col min="5122" max="5122" width="6" customWidth="1"/>
    <col min="5123" max="5124" width="6.28515625" customWidth="1"/>
    <col min="5125" max="5125" width="5.5703125" customWidth="1"/>
    <col min="5126" max="5126" width="12.28515625" customWidth="1"/>
    <col min="5127" max="5127" width="5.28515625" customWidth="1"/>
    <col min="5128" max="5128" width="7.42578125" customWidth="1"/>
    <col min="5129" max="5129" width="6.28515625" customWidth="1"/>
    <col min="5130" max="5130" width="5.140625" customWidth="1"/>
    <col min="5131" max="5131" width="5.7109375" customWidth="1"/>
    <col min="5132" max="5132" width="6.140625" customWidth="1"/>
    <col min="5136" max="5136" width="14.28515625" customWidth="1"/>
    <col min="5137" max="5137" width="14" customWidth="1"/>
    <col min="5377" max="5377" width="15.28515625" customWidth="1"/>
    <col min="5378" max="5378" width="6" customWidth="1"/>
    <col min="5379" max="5380" width="6.28515625" customWidth="1"/>
    <col min="5381" max="5381" width="5.5703125" customWidth="1"/>
    <col min="5382" max="5382" width="12.28515625" customWidth="1"/>
    <col min="5383" max="5383" width="5.28515625" customWidth="1"/>
    <col min="5384" max="5384" width="7.42578125" customWidth="1"/>
    <col min="5385" max="5385" width="6.28515625" customWidth="1"/>
    <col min="5386" max="5386" width="5.140625" customWidth="1"/>
    <col min="5387" max="5387" width="5.7109375" customWidth="1"/>
    <col min="5388" max="5388" width="6.140625" customWidth="1"/>
    <col min="5392" max="5392" width="14.28515625" customWidth="1"/>
    <col min="5393" max="5393" width="14" customWidth="1"/>
    <col min="5633" max="5633" width="15.28515625" customWidth="1"/>
    <col min="5634" max="5634" width="6" customWidth="1"/>
    <col min="5635" max="5636" width="6.28515625" customWidth="1"/>
    <col min="5637" max="5637" width="5.5703125" customWidth="1"/>
    <col min="5638" max="5638" width="12.28515625" customWidth="1"/>
    <col min="5639" max="5639" width="5.28515625" customWidth="1"/>
    <col min="5640" max="5640" width="7.42578125" customWidth="1"/>
    <col min="5641" max="5641" width="6.28515625" customWidth="1"/>
    <col min="5642" max="5642" width="5.140625" customWidth="1"/>
    <col min="5643" max="5643" width="5.7109375" customWidth="1"/>
    <col min="5644" max="5644" width="6.140625" customWidth="1"/>
    <col min="5648" max="5648" width="14.28515625" customWidth="1"/>
    <col min="5649" max="5649" width="14" customWidth="1"/>
    <col min="5889" max="5889" width="15.28515625" customWidth="1"/>
    <col min="5890" max="5890" width="6" customWidth="1"/>
    <col min="5891" max="5892" width="6.28515625" customWidth="1"/>
    <col min="5893" max="5893" width="5.5703125" customWidth="1"/>
    <col min="5894" max="5894" width="12.28515625" customWidth="1"/>
    <col min="5895" max="5895" width="5.28515625" customWidth="1"/>
    <col min="5896" max="5896" width="7.42578125" customWidth="1"/>
    <col min="5897" max="5897" width="6.28515625" customWidth="1"/>
    <col min="5898" max="5898" width="5.140625" customWidth="1"/>
    <col min="5899" max="5899" width="5.7109375" customWidth="1"/>
    <col min="5900" max="5900" width="6.140625" customWidth="1"/>
    <col min="5904" max="5904" width="14.28515625" customWidth="1"/>
    <col min="5905" max="5905" width="14" customWidth="1"/>
    <col min="6145" max="6145" width="15.28515625" customWidth="1"/>
    <col min="6146" max="6146" width="6" customWidth="1"/>
    <col min="6147" max="6148" width="6.28515625" customWidth="1"/>
    <col min="6149" max="6149" width="5.5703125" customWidth="1"/>
    <col min="6150" max="6150" width="12.28515625" customWidth="1"/>
    <col min="6151" max="6151" width="5.28515625" customWidth="1"/>
    <col min="6152" max="6152" width="7.42578125" customWidth="1"/>
    <col min="6153" max="6153" width="6.28515625" customWidth="1"/>
    <col min="6154" max="6154" width="5.140625" customWidth="1"/>
    <col min="6155" max="6155" width="5.7109375" customWidth="1"/>
    <col min="6156" max="6156" width="6.140625" customWidth="1"/>
    <col min="6160" max="6160" width="14.28515625" customWidth="1"/>
    <col min="6161" max="6161" width="14" customWidth="1"/>
    <col min="6401" max="6401" width="15.28515625" customWidth="1"/>
    <col min="6402" max="6402" width="6" customWidth="1"/>
    <col min="6403" max="6404" width="6.28515625" customWidth="1"/>
    <col min="6405" max="6405" width="5.5703125" customWidth="1"/>
    <col min="6406" max="6406" width="12.28515625" customWidth="1"/>
    <col min="6407" max="6407" width="5.28515625" customWidth="1"/>
    <col min="6408" max="6408" width="7.42578125" customWidth="1"/>
    <col min="6409" max="6409" width="6.28515625" customWidth="1"/>
    <col min="6410" max="6410" width="5.140625" customWidth="1"/>
    <col min="6411" max="6411" width="5.7109375" customWidth="1"/>
    <col min="6412" max="6412" width="6.140625" customWidth="1"/>
    <col min="6416" max="6416" width="14.28515625" customWidth="1"/>
    <col min="6417" max="6417" width="14" customWidth="1"/>
    <col min="6657" max="6657" width="15.28515625" customWidth="1"/>
    <col min="6658" max="6658" width="6" customWidth="1"/>
    <col min="6659" max="6660" width="6.28515625" customWidth="1"/>
    <col min="6661" max="6661" width="5.5703125" customWidth="1"/>
    <col min="6662" max="6662" width="12.28515625" customWidth="1"/>
    <col min="6663" max="6663" width="5.28515625" customWidth="1"/>
    <col min="6664" max="6664" width="7.42578125" customWidth="1"/>
    <col min="6665" max="6665" width="6.28515625" customWidth="1"/>
    <col min="6666" max="6666" width="5.140625" customWidth="1"/>
    <col min="6667" max="6667" width="5.7109375" customWidth="1"/>
    <col min="6668" max="6668" width="6.140625" customWidth="1"/>
    <col min="6672" max="6672" width="14.28515625" customWidth="1"/>
    <col min="6673" max="6673" width="14" customWidth="1"/>
    <col min="6913" max="6913" width="15.28515625" customWidth="1"/>
    <col min="6914" max="6914" width="6" customWidth="1"/>
    <col min="6915" max="6916" width="6.28515625" customWidth="1"/>
    <col min="6917" max="6917" width="5.5703125" customWidth="1"/>
    <col min="6918" max="6918" width="12.28515625" customWidth="1"/>
    <col min="6919" max="6919" width="5.28515625" customWidth="1"/>
    <col min="6920" max="6920" width="7.42578125" customWidth="1"/>
    <col min="6921" max="6921" width="6.28515625" customWidth="1"/>
    <col min="6922" max="6922" width="5.140625" customWidth="1"/>
    <col min="6923" max="6923" width="5.7109375" customWidth="1"/>
    <col min="6924" max="6924" width="6.140625" customWidth="1"/>
    <col min="6928" max="6928" width="14.28515625" customWidth="1"/>
    <col min="6929" max="6929" width="14" customWidth="1"/>
    <col min="7169" max="7169" width="15.28515625" customWidth="1"/>
    <col min="7170" max="7170" width="6" customWidth="1"/>
    <col min="7171" max="7172" width="6.28515625" customWidth="1"/>
    <col min="7173" max="7173" width="5.5703125" customWidth="1"/>
    <col min="7174" max="7174" width="12.28515625" customWidth="1"/>
    <col min="7175" max="7175" width="5.28515625" customWidth="1"/>
    <col min="7176" max="7176" width="7.42578125" customWidth="1"/>
    <col min="7177" max="7177" width="6.28515625" customWidth="1"/>
    <col min="7178" max="7178" width="5.140625" customWidth="1"/>
    <col min="7179" max="7179" width="5.7109375" customWidth="1"/>
    <col min="7180" max="7180" width="6.140625" customWidth="1"/>
    <col min="7184" max="7184" width="14.28515625" customWidth="1"/>
    <col min="7185" max="7185" width="14" customWidth="1"/>
    <col min="7425" max="7425" width="15.28515625" customWidth="1"/>
    <col min="7426" max="7426" width="6" customWidth="1"/>
    <col min="7427" max="7428" width="6.28515625" customWidth="1"/>
    <col min="7429" max="7429" width="5.5703125" customWidth="1"/>
    <col min="7430" max="7430" width="12.28515625" customWidth="1"/>
    <col min="7431" max="7431" width="5.28515625" customWidth="1"/>
    <col min="7432" max="7432" width="7.42578125" customWidth="1"/>
    <col min="7433" max="7433" width="6.28515625" customWidth="1"/>
    <col min="7434" max="7434" width="5.140625" customWidth="1"/>
    <col min="7435" max="7435" width="5.7109375" customWidth="1"/>
    <col min="7436" max="7436" width="6.140625" customWidth="1"/>
    <col min="7440" max="7440" width="14.28515625" customWidth="1"/>
    <col min="7441" max="7441" width="14" customWidth="1"/>
    <col min="7681" max="7681" width="15.28515625" customWidth="1"/>
    <col min="7682" max="7682" width="6" customWidth="1"/>
    <col min="7683" max="7684" width="6.28515625" customWidth="1"/>
    <col min="7685" max="7685" width="5.5703125" customWidth="1"/>
    <col min="7686" max="7686" width="12.28515625" customWidth="1"/>
    <col min="7687" max="7687" width="5.28515625" customWidth="1"/>
    <col min="7688" max="7688" width="7.42578125" customWidth="1"/>
    <col min="7689" max="7689" width="6.28515625" customWidth="1"/>
    <col min="7690" max="7690" width="5.140625" customWidth="1"/>
    <col min="7691" max="7691" width="5.7109375" customWidth="1"/>
    <col min="7692" max="7692" width="6.140625" customWidth="1"/>
    <col min="7696" max="7696" width="14.28515625" customWidth="1"/>
    <col min="7697" max="7697" width="14" customWidth="1"/>
    <col min="7937" max="7937" width="15.28515625" customWidth="1"/>
    <col min="7938" max="7938" width="6" customWidth="1"/>
    <col min="7939" max="7940" width="6.28515625" customWidth="1"/>
    <col min="7941" max="7941" width="5.5703125" customWidth="1"/>
    <col min="7942" max="7942" width="12.28515625" customWidth="1"/>
    <col min="7943" max="7943" width="5.28515625" customWidth="1"/>
    <col min="7944" max="7944" width="7.42578125" customWidth="1"/>
    <col min="7945" max="7945" width="6.28515625" customWidth="1"/>
    <col min="7946" max="7946" width="5.140625" customWidth="1"/>
    <col min="7947" max="7947" width="5.7109375" customWidth="1"/>
    <col min="7948" max="7948" width="6.140625" customWidth="1"/>
    <col min="7952" max="7952" width="14.28515625" customWidth="1"/>
    <col min="7953" max="7953" width="14" customWidth="1"/>
    <col min="8193" max="8193" width="15.28515625" customWidth="1"/>
    <col min="8194" max="8194" width="6" customWidth="1"/>
    <col min="8195" max="8196" width="6.28515625" customWidth="1"/>
    <col min="8197" max="8197" width="5.5703125" customWidth="1"/>
    <col min="8198" max="8198" width="12.28515625" customWidth="1"/>
    <col min="8199" max="8199" width="5.28515625" customWidth="1"/>
    <col min="8200" max="8200" width="7.42578125" customWidth="1"/>
    <col min="8201" max="8201" width="6.28515625" customWidth="1"/>
    <col min="8202" max="8202" width="5.140625" customWidth="1"/>
    <col min="8203" max="8203" width="5.7109375" customWidth="1"/>
    <col min="8204" max="8204" width="6.140625" customWidth="1"/>
    <col min="8208" max="8208" width="14.28515625" customWidth="1"/>
    <col min="8209" max="8209" width="14" customWidth="1"/>
    <col min="8449" max="8449" width="15.28515625" customWidth="1"/>
    <col min="8450" max="8450" width="6" customWidth="1"/>
    <col min="8451" max="8452" width="6.28515625" customWidth="1"/>
    <col min="8453" max="8453" width="5.5703125" customWidth="1"/>
    <col min="8454" max="8454" width="12.28515625" customWidth="1"/>
    <col min="8455" max="8455" width="5.28515625" customWidth="1"/>
    <col min="8456" max="8456" width="7.42578125" customWidth="1"/>
    <col min="8457" max="8457" width="6.28515625" customWidth="1"/>
    <col min="8458" max="8458" width="5.140625" customWidth="1"/>
    <col min="8459" max="8459" width="5.7109375" customWidth="1"/>
    <col min="8460" max="8460" width="6.140625" customWidth="1"/>
    <col min="8464" max="8464" width="14.28515625" customWidth="1"/>
    <col min="8465" max="8465" width="14" customWidth="1"/>
    <col min="8705" max="8705" width="15.28515625" customWidth="1"/>
    <col min="8706" max="8706" width="6" customWidth="1"/>
    <col min="8707" max="8708" width="6.28515625" customWidth="1"/>
    <col min="8709" max="8709" width="5.5703125" customWidth="1"/>
    <col min="8710" max="8710" width="12.28515625" customWidth="1"/>
    <col min="8711" max="8711" width="5.28515625" customWidth="1"/>
    <col min="8712" max="8712" width="7.42578125" customWidth="1"/>
    <col min="8713" max="8713" width="6.28515625" customWidth="1"/>
    <col min="8714" max="8714" width="5.140625" customWidth="1"/>
    <col min="8715" max="8715" width="5.7109375" customWidth="1"/>
    <col min="8716" max="8716" width="6.140625" customWidth="1"/>
    <col min="8720" max="8720" width="14.28515625" customWidth="1"/>
    <col min="8721" max="8721" width="14" customWidth="1"/>
    <col min="8961" max="8961" width="15.28515625" customWidth="1"/>
    <col min="8962" max="8962" width="6" customWidth="1"/>
    <col min="8963" max="8964" width="6.28515625" customWidth="1"/>
    <col min="8965" max="8965" width="5.5703125" customWidth="1"/>
    <col min="8966" max="8966" width="12.28515625" customWidth="1"/>
    <col min="8967" max="8967" width="5.28515625" customWidth="1"/>
    <col min="8968" max="8968" width="7.42578125" customWidth="1"/>
    <col min="8969" max="8969" width="6.28515625" customWidth="1"/>
    <col min="8970" max="8970" width="5.140625" customWidth="1"/>
    <col min="8971" max="8971" width="5.7109375" customWidth="1"/>
    <col min="8972" max="8972" width="6.140625" customWidth="1"/>
    <col min="8976" max="8976" width="14.28515625" customWidth="1"/>
    <col min="8977" max="8977" width="14" customWidth="1"/>
    <col min="9217" max="9217" width="15.28515625" customWidth="1"/>
    <col min="9218" max="9218" width="6" customWidth="1"/>
    <col min="9219" max="9220" width="6.28515625" customWidth="1"/>
    <col min="9221" max="9221" width="5.5703125" customWidth="1"/>
    <col min="9222" max="9222" width="12.28515625" customWidth="1"/>
    <col min="9223" max="9223" width="5.28515625" customWidth="1"/>
    <col min="9224" max="9224" width="7.42578125" customWidth="1"/>
    <col min="9225" max="9225" width="6.28515625" customWidth="1"/>
    <col min="9226" max="9226" width="5.140625" customWidth="1"/>
    <col min="9227" max="9227" width="5.7109375" customWidth="1"/>
    <col min="9228" max="9228" width="6.140625" customWidth="1"/>
    <col min="9232" max="9232" width="14.28515625" customWidth="1"/>
    <col min="9233" max="9233" width="14" customWidth="1"/>
    <col min="9473" max="9473" width="15.28515625" customWidth="1"/>
    <col min="9474" max="9474" width="6" customWidth="1"/>
    <col min="9475" max="9476" width="6.28515625" customWidth="1"/>
    <col min="9477" max="9477" width="5.5703125" customWidth="1"/>
    <col min="9478" max="9478" width="12.28515625" customWidth="1"/>
    <col min="9479" max="9479" width="5.28515625" customWidth="1"/>
    <col min="9480" max="9480" width="7.42578125" customWidth="1"/>
    <col min="9481" max="9481" width="6.28515625" customWidth="1"/>
    <col min="9482" max="9482" width="5.140625" customWidth="1"/>
    <col min="9483" max="9483" width="5.7109375" customWidth="1"/>
    <col min="9484" max="9484" width="6.140625" customWidth="1"/>
    <col min="9488" max="9488" width="14.28515625" customWidth="1"/>
    <col min="9489" max="9489" width="14" customWidth="1"/>
    <col min="9729" max="9729" width="15.28515625" customWidth="1"/>
    <col min="9730" max="9730" width="6" customWidth="1"/>
    <col min="9731" max="9732" width="6.28515625" customWidth="1"/>
    <col min="9733" max="9733" width="5.5703125" customWidth="1"/>
    <col min="9734" max="9734" width="12.28515625" customWidth="1"/>
    <col min="9735" max="9735" width="5.28515625" customWidth="1"/>
    <col min="9736" max="9736" width="7.42578125" customWidth="1"/>
    <col min="9737" max="9737" width="6.28515625" customWidth="1"/>
    <col min="9738" max="9738" width="5.140625" customWidth="1"/>
    <col min="9739" max="9739" width="5.7109375" customWidth="1"/>
    <col min="9740" max="9740" width="6.140625" customWidth="1"/>
    <col min="9744" max="9744" width="14.28515625" customWidth="1"/>
    <col min="9745" max="9745" width="14" customWidth="1"/>
    <col min="9985" max="9985" width="15.28515625" customWidth="1"/>
    <col min="9986" max="9986" width="6" customWidth="1"/>
    <col min="9987" max="9988" width="6.28515625" customWidth="1"/>
    <col min="9989" max="9989" width="5.5703125" customWidth="1"/>
    <col min="9990" max="9990" width="12.28515625" customWidth="1"/>
    <col min="9991" max="9991" width="5.28515625" customWidth="1"/>
    <col min="9992" max="9992" width="7.42578125" customWidth="1"/>
    <col min="9993" max="9993" width="6.28515625" customWidth="1"/>
    <col min="9994" max="9994" width="5.140625" customWidth="1"/>
    <col min="9995" max="9995" width="5.7109375" customWidth="1"/>
    <col min="9996" max="9996" width="6.140625" customWidth="1"/>
    <col min="10000" max="10000" width="14.28515625" customWidth="1"/>
    <col min="10001" max="10001" width="14" customWidth="1"/>
    <col min="10241" max="10241" width="15.28515625" customWidth="1"/>
    <col min="10242" max="10242" width="6" customWidth="1"/>
    <col min="10243" max="10244" width="6.28515625" customWidth="1"/>
    <col min="10245" max="10245" width="5.5703125" customWidth="1"/>
    <col min="10246" max="10246" width="12.28515625" customWidth="1"/>
    <col min="10247" max="10247" width="5.28515625" customWidth="1"/>
    <col min="10248" max="10248" width="7.42578125" customWidth="1"/>
    <col min="10249" max="10249" width="6.28515625" customWidth="1"/>
    <col min="10250" max="10250" width="5.140625" customWidth="1"/>
    <col min="10251" max="10251" width="5.7109375" customWidth="1"/>
    <col min="10252" max="10252" width="6.140625" customWidth="1"/>
    <col min="10256" max="10256" width="14.28515625" customWidth="1"/>
    <col min="10257" max="10257" width="14" customWidth="1"/>
    <col min="10497" max="10497" width="15.28515625" customWidth="1"/>
    <col min="10498" max="10498" width="6" customWidth="1"/>
    <col min="10499" max="10500" width="6.28515625" customWidth="1"/>
    <col min="10501" max="10501" width="5.5703125" customWidth="1"/>
    <col min="10502" max="10502" width="12.28515625" customWidth="1"/>
    <col min="10503" max="10503" width="5.28515625" customWidth="1"/>
    <col min="10504" max="10504" width="7.42578125" customWidth="1"/>
    <col min="10505" max="10505" width="6.28515625" customWidth="1"/>
    <col min="10506" max="10506" width="5.140625" customWidth="1"/>
    <col min="10507" max="10507" width="5.7109375" customWidth="1"/>
    <col min="10508" max="10508" width="6.140625" customWidth="1"/>
    <col min="10512" max="10512" width="14.28515625" customWidth="1"/>
    <col min="10513" max="10513" width="14" customWidth="1"/>
    <col min="10753" max="10753" width="15.28515625" customWidth="1"/>
    <col min="10754" max="10754" width="6" customWidth="1"/>
    <col min="10755" max="10756" width="6.28515625" customWidth="1"/>
    <col min="10757" max="10757" width="5.5703125" customWidth="1"/>
    <col min="10758" max="10758" width="12.28515625" customWidth="1"/>
    <col min="10759" max="10759" width="5.28515625" customWidth="1"/>
    <col min="10760" max="10760" width="7.42578125" customWidth="1"/>
    <col min="10761" max="10761" width="6.28515625" customWidth="1"/>
    <col min="10762" max="10762" width="5.140625" customWidth="1"/>
    <col min="10763" max="10763" width="5.7109375" customWidth="1"/>
    <col min="10764" max="10764" width="6.140625" customWidth="1"/>
    <col min="10768" max="10768" width="14.28515625" customWidth="1"/>
    <col min="10769" max="10769" width="14" customWidth="1"/>
    <col min="11009" max="11009" width="15.28515625" customWidth="1"/>
    <col min="11010" max="11010" width="6" customWidth="1"/>
    <col min="11011" max="11012" width="6.28515625" customWidth="1"/>
    <col min="11013" max="11013" width="5.5703125" customWidth="1"/>
    <col min="11014" max="11014" width="12.28515625" customWidth="1"/>
    <col min="11015" max="11015" width="5.28515625" customWidth="1"/>
    <col min="11016" max="11016" width="7.42578125" customWidth="1"/>
    <col min="11017" max="11017" width="6.28515625" customWidth="1"/>
    <col min="11018" max="11018" width="5.140625" customWidth="1"/>
    <col min="11019" max="11019" width="5.7109375" customWidth="1"/>
    <col min="11020" max="11020" width="6.140625" customWidth="1"/>
    <col min="11024" max="11024" width="14.28515625" customWidth="1"/>
    <col min="11025" max="11025" width="14" customWidth="1"/>
    <col min="11265" max="11265" width="15.28515625" customWidth="1"/>
    <col min="11266" max="11266" width="6" customWidth="1"/>
    <col min="11267" max="11268" width="6.28515625" customWidth="1"/>
    <col min="11269" max="11269" width="5.5703125" customWidth="1"/>
    <col min="11270" max="11270" width="12.28515625" customWidth="1"/>
    <col min="11271" max="11271" width="5.28515625" customWidth="1"/>
    <col min="11272" max="11272" width="7.42578125" customWidth="1"/>
    <col min="11273" max="11273" width="6.28515625" customWidth="1"/>
    <col min="11274" max="11274" width="5.140625" customWidth="1"/>
    <col min="11275" max="11275" width="5.7109375" customWidth="1"/>
    <col min="11276" max="11276" width="6.140625" customWidth="1"/>
    <col min="11280" max="11280" width="14.28515625" customWidth="1"/>
    <col min="11281" max="11281" width="14" customWidth="1"/>
    <col min="11521" max="11521" width="15.28515625" customWidth="1"/>
    <col min="11522" max="11522" width="6" customWidth="1"/>
    <col min="11523" max="11524" width="6.28515625" customWidth="1"/>
    <col min="11525" max="11525" width="5.5703125" customWidth="1"/>
    <col min="11526" max="11526" width="12.28515625" customWidth="1"/>
    <col min="11527" max="11527" width="5.28515625" customWidth="1"/>
    <col min="11528" max="11528" width="7.42578125" customWidth="1"/>
    <col min="11529" max="11529" width="6.28515625" customWidth="1"/>
    <col min="11530" max="11530" width="5.140625" customWidth="1"/>
    <col min="11531" max="11531" width="5.7109375" customWidth="1"/>
    <col min="11532" max="11532" width="6.140625" customWidth="1"/>
    <col min="11536" max="11536" width="14.28515625" customWidth="1"/>
    <col min="11537" max="11537" width="14" customWidth="1"/>
    <col min="11777" max="11777" width="15.28515625" customWidth="1"/>
    <col min="11778" max="11778" width="6" customWidth="1"/>
    <col min="11779" max="11780" width="6.28515625" customWidth="1"/>
    <col min="11781" max="11781" width="5.5703125" customWidth="1"/>
    <col min="11782" max="11782" width="12.28515625" customWidth="1"/>
    <col min="11783" max="11783" width="5.28515625" customWidth="1"/>
    <col min="11784" max="11784" width="7.42578125" customWidth="1"/>
    <col min="11785" max="11785" width="6.28515625" customWidth="1"/>
    <col min="11786" max="11786" width="5.140625" customWidth="1"/>
    <col min="11787" max="11787" width="5.7109375" customWidth="1"/>
    <col min="11788" max="11788" width="6.140625" customWidth="1"/>
    <col min="11792" max="11792" width="14.28515625" customWidth="1"/>
    <col min="11793" max="11793" width="14" customWidth="1"/>
    <col min="12033" max="12033" width="15.28515625" customWidth="1"/>
    <col min="12034" max="12034" width="6" customWidth="1"/>
    <col min="12035" max="12036" width="6.28515625" customWidth="1"/>
    <col min="12037" max="12037" width="5.5703125" customWidth="1"/>
    <col min="12038" max="12038" width="12.28515625" customWidth="1"/>
    <col min="12039" max="12039" width="5.28515625" customWidth="1"/>
    <col min="12040" max="12040" width="7.42578125" customWidth="1"/>
    <col min="12041" max="12041" width="6.28515625" customWidth="1"/>
    <col min="12042" max="12042" width="5.140625" customWidth="1"/>
    <col min="12043" max="12043" width="5.7109375" customWidth="1"/>
    <col min="12044" max="12044" width="6.140625" customWidth="1"/>
    <col min="12048" max="12048" width="14.28515625" customWidth="1"/>
    <col min="12049" max="12049" width="14" customWidth="1"/>
    <col min="12289" max="12289" width="15.28515625" customWidth="1"/>
    <col min="12290" max="12290" width="6" customWidth="1"/>
    <col min="12291" max="12292" width="6.28515625" customWidth="1"/>
    <col min="12293" max="12293" width="5.5703125" customWidth="1"/>
    <col min="12294" max="12294" width="12.28515625" customWidth="1"/>
    <col min="12295" max="12295" width="5.28515625" customWidth="1"/>
    <col min="12296" max="12296" width="7.42578125" customWidth="1"/>
    <col min="12297" max="12297" width="6.28515625" customWidth="1"/>
    <col min="12298" max="12298" width="5.140625" customWidth="1"/>
    <col min="12299" max="12299" width="5.7109375" customWidth="1"/>
    <col min="12300" max="12300" width="6.140625" customWidth="1"/>
    <col min="12304" max="12304" width="14.28515625" customWidth="1"/>
    <col min="12305" max="12305" width="14" customWidth="1"/>
    <col min="12545" max="12545" width="15.28515625" customWidth="1"/>
    <col min="12546" max="12546" width="6" customWidth="1"/>
    <col min="12547" max="12548" width="6.28515625" customWidth="1"/>
    <col min="12549" max="12549" width="5.5703125" customWidth="1"/>
    <col min="12550" max="12550" width="12.28515625" customWidth="1"/>
    <col min="12551" max="12551" width="5.28515625" customWidth="1"/>
    <col min="12552" max="12552" width="7.42578125" customWidth="1"/>
    <col min="12553" max="12553" width="6.28515625" customWidth="1"/>
    <col min="12554" max="12554" width="5.140625" customWidth="1"/>
    <col min="12555" max="12555" width="5.7109375" customWidth="1"/>
    <col min="12556" max="12556" width="6.140625" customWidth="1"/>
    <col min="12560" max="12560" width="14.28515625" customWidth="1"/>
    <col min="12561" max="12561" width="14" customWidth="1"/>
    <col min="12801" max="12801" width="15.28515625" customWidth="1"/>
    <col min="12802" max="12802" width="6" customWidth="1"/>
    <col min="12803" max="12804" width="6.28515625" customWidth="1"/>
    <col min="12805" max="12805" width="5.5703125" customWidth="1"/>
    <col min="12806" max="12806" width="12.28515625" customWidth="1"/>
    <col min="12807" max="12807" width="5.28515625" customWidth="1"/>
    <col min="12808" max="12808" width="7.42578125" customWidth="1"/>
    <col min="12809" max="12809" width="6.28515625" customWidth="1"/>
    <col min="12810" max="12810" width="5.140625" customWidth="1"/>
    <col min="12811" max="12811" width="5.7109375" customWidth="1"/>
    <col min="12812" max="12812" width="6.140625" customWidth="1"/>
    <col min="12816" max="12816" width="14.28515625" customWidth="1"/>
    <col min="12817" max="12817" width="14" customWidth="1"/>
    <col min="13057" max="13057" width="15.28515625" customWidth="1"/>
    <col min="13058" max="13058" width="6" customWidth="1"/>
    <col min="13059" max="13060" width="6.28515625" customWidth="1"/>
    <col min="13061" max="13061" width="5.5703125" customWidth="1"/>
    <col min="13062" max="13062" width="12.28515625" customWidth="1"/>
    <col min="13063" max="13063" width="5.28515625" customWidth="1"/>
    <col min="13064" max="13064" width="7.42578125" customWidth="1"/>
    <col min="13065" max="13065" width="6.28515625" customWidth="1"/>
    <col min="13066" max="13066" width="5.140625" customWidth="1"/>
    <col min="13067" max="13067" width="5.7109375" customWidth="1"/>
    <col min="13068" max="13068" width="6.140625" customWidth="1"/>
    <col min="13072" max="13072" width="14.28515625" customWidth="1"/>
    <col min="13073" max="13073" width="14" customWidth="1"/>
    <col min="13313" max="13313" width="15.28515625" customWidth="1"/>
    <col min="13314" max="13314" width="6" customWidth="1"/>
    <col min="13315" max="13316" width="6.28515625" customWidth="1"/>
    <col min="13317" max="13317" width="5.5703125" customWidth="1"/>
    <col min="13318" max="13318" width="12.28515625" customWidth="1"/>
    <col min="13319" max="13319" width="5.28515625" customWidth="1"/>
    <col min="13320" max="13320" width="7.42578125" customWidth="1"/>
    <col min="13321" max="13321" width="6.28515625" customWidth="1"/>
    <col min="13322" max="13322" width="5.140625" customWidth="1"/>
    <col min="13323" max="13323" width="5.7109375" customWidth="1"/>
    <col min="13324" max="13324" width="6.140625" customWidth="1"/>
    <col min="13328" max="13328" width="14.28515625" customWidth="1"/>
    <col min="13329" max="13329" width="14" customWidth="1"/>
    <col min="13569" max="13569" width="15.28515625" customWidth="1"/>
    <col min="13570" max="13570" width="6" customWidth="1"/>
    <col min="13571" max="13572" width="6.28515625" customWidth="1"/>
    <col min="13573" max="13573" width="5.5703125" customWidth="1"/>
    <col min="13574" max="13574" width="12.28515625" customWidth="1"/>
    <col min="13575" max="13575" width="5.28515625" customWidth="1"/>
    <col min="13576" max="13576" width="7.42578125" customWidth="1"/>
    <col min="13577" max="13577" width="6.28515625" customWidth="1"/>
    <col min="13578" max="13578" width="5.140625" customWidth="1"/>
    <col min="13579" max="13579" width="5.7109375" customWidth="1"/>
    <col min="13580" max="13580" width="6.140625" customWidth="1"/>
    <col min="13584" max="13584" width="14.28515625" customWidth="1"/>
    <col min="13585" max="13585" width="14" customWidth="1"/>
    <col min="13825" max="13825" width="15.28515625" customWidth="1"/>
    <col min="13826" max="13826" width="6" customWidth="1"/>
    <col min="13827" max="13828" width="6.28515625" customWidth="1"/>
    <col min="13829" max="13829" width="5.5703125" customWidth="1"/>
    <col min="13830" max="13830" width="12.28515625" customWidth="1"/>
    <col min="13831" max="13831" width="5.28515625" customWidth="1"/>
    <col min="13832" max="13832" width="7.42578125" customWidth="1"/>
    <col min="13833" max="13833" width="6.28515625" customWidth="1"/>
    <col min="13834" max="13834" width="5.140625" customWidth="1"/>
    <col min="13835" max="13835" width="5.7109375" customWidth="1"/>
    <col min="13836" max="13836" width="6.140625" customWidth="1"/>
    <col min="13840" max="13840" width="14.28515625" customWidth="1"/>
    <col min="13841" max="13841" width="14" customWidth="1"/>
    <col min="14081" max="14081" width="15.28515625" customWidth="1"/>
    <col min="14082" max="14082" width="6" customWidth="1"/>
    <col min="14083" max="14084" width="6.28515625" customWidth="1"/>
    <col min="14085" max="14085" width="5.5703125" customWidth="1"/>
    <col min="14086" max="14086" width="12.28515625" customWidth="1"/>
    <col min="14087" max="14087" width="5.28515625" customWidth="1"/>
    <col min="14088" max="14088" width="7.42578125" customWidth="1"/>
    <col min="14089" max="14089" width="6.28515625" customWidth="1"/>
    <col min="14090" max="14090" width="5.140625" customWidth="1"/>
    <col min="14091" max="14091" width="5.7109375" customWidth="1"/>
    <col min="14092" max="14092" width="6.140625" customWidth="1"/>
    <col min="14096" max="14096" width="14.28515625" customWidth="1"/>
    <col min="14097" max="14097" width="14" customWidth="1"/>
    <col min="14337" max="14337" width="15.28515625" customWidth="1"/>
    <col min="14338" max="14338" width="6" customWidth="1"/>
    <col min="14339" max="14340" width="6.28515625" customWidth="1"/>
    <col min="14341" max="14341" width="5.5703125" customWidth="1"/>
    <col min="14342" max="14342" width="12.28515625" customWidth="1"/>
    <col min="14343" max="14343" width="5.28515625" customWidth="1"/>
    <col min="14344" max="14344" width="7.42578125" customWidth="1"/>
    <col min="14345" max="14345" width="6.28515625" customWidth="1"/>
    <col min="14346" max="14346" width="5.140625" customWidth="1"/>
    <col min="14347" max="14347" width="5.7109375" customWidth="1"/>
    <col min="14348" max="14348" width="6.140625" customWidth="1"/>
    <col min="14352" max="14352" width="14.28515625" customWidth="1"/>
    <col min="14353" max="14353" width="14" customWidth="1"/>
    <col min="14593" max="14593" width="15.28515625" customWidth="1"/>
    <col min="14594" max="14594" width="6" customWidth="1"/>
    <col min="14595" max="14596" width="6.28515625" customWidth="1"/>
    <col min="14597" max="14597" width="5.5703125" customWidth="1"/>
    <col min="14598" max="14598" width="12.28515625" customWidth="1"/>
    <col min="14599" max="14599" width="5.28515625" customWidth="1"/>
    <col min="14600" max="14600" width="7.42578125" customWidth="1"/>
    <col min="14601" max="14601" width="6.28515625" customWidth="1"/>
    <col min="14602" max="14602" width="5.140625" customWidth="1"/>
    <col min="14603" max="14603" width="5.7109375" customWidth="1"/>
    <col min="14604" max="14604" width="6.140625" customWidth="1"/>
    <col min="14608" max="14608" width="14.28515625" customWidth="1"/>
    <col min="14609" max="14609" width="14" customWidth="1"/>
    <col min="14849" max="14849" width="15.28515625" customWidth="1"/>
    <col min="14850" max="14850" width="6" customWidth="1"/>
    <col min="14851" max="14852" width="6.28515625" customWidth="1"/>
    <col min="14853" max="14853" width="5.5703125" customWidth="1"/>
    <col min="14854" max="14854" width="12.28515625" customWidth="1"/>
    <col min="14855" max="14855" width="5.28515625" customWidth="1"/>
    <col min="14856" max="14856" width="7.42578125" customWidth="1"/>
    <col min="14857" max="14857" width="6.28515625" customWidth="1"/>
    <col min="14858" max="14858" width="5.140625" customWidth="1"/>
    <col min="14859" max="14859" width="5.7109375" customWidth="1"/>
    <col min="14860" max="14860" width="6.140625" customWidth="1"/>
    <col min="14864" max="14864" width="14.28515625" customWidth="1"/>
    <col min="14865" max="14865" width="14" customWidth="1"/>
    <col min="15105" max="15105" width="15.28515625" customWidth="1"/>
    <col min="15106" max="15106" width="6" customWidth="1"/>
    <col min="15107" max="15108" width="6.28515625" customWidth="1"/>
    <col min="15109" max="15109" width="5.5703125" customWidth="1"/>
    <col min="15110" max="15110" width="12.28515625" customWidth="1"/>
    <col min="15111" max="15111" width="5.28515625" customWidth="1"/>
    <col min="15112" max="15112" width="7.42578125" customWidth="1"/>
    <col min="15113" max="15113" width="6.28515625" customWidth="1"/>
    <col min="15114" max="15114" width="5.140625" customWidth="1"/>
    <col min="15115" max="15115" width="5.7109375" customWidth="1"/>
    <col min="15116" max="15116" width="6.140625" customWidth="1"/>
    <col min="15120" max="15120" width="14.28515625" customWidth="1"/>
    <col min="15121" max="15121" width="14" customWidth="1"/>
    <col min="15361" max="15361" width="15.28515625" customWidth="1"/>
    <col min="15362" max="15362" width="6" customWidth="1"/>
    <col min="15363" max="15364" width="6.28515625" customWidth="1"/>
    <col min="15365" max="15365" width="5.5703125" customWidth="1"/>
    <col min="15366" max="15366" width="12.28515625" customWidth="1"/>
    <col min="15367" max="15367" width="5.28515625" customWidth="1"/>
    <col min="15368" max="15368" width="7.42578125" customWidth="1"/>
    <col min="15369" max="15369" width="6.28515625" customWidth="1"/>
    <col min="15370" max="15370" width="5.140625" customWidth="1"/>
    <col min="15371" max="15371" width="5.7109375" customWidth="1"/>
    <col min="15372" max="15372" width="6.140625" customWidth="1"/>
    <col min="15376" max="15376" width="14.28515625" customWidth="1"/>
    <col min="15377" max="15377" width="14" customWidth="1"/>
    <col min="15617" max="15617" width="15.28515625" customWidth="1"/>
    <col min="15618" max="15618" width="6" customWidth="1"/>
    <col min="15619" max="15620" width="6.28515625" customWidth="1"/>
    <col min="15621" max="15621" width="5.5703125" customWidth="1"/>
    <col min="15622" max="15622" width="12.28515625" customWidth="1"/>
    <col min="15623" max="15623" width="5.28515625" customWidth="1"/>
    <col min="15624" max="15624" width="7.42578125" customWidth="1"/>
    <col min="15625" max="15625" width="6.28515625" customWidth="1"/>
    <col min="15626" max="15626" width="5.140625" customWidth="1"/>
    <col min="15627" max="15627" width="5.7109375" customWidth="1"/>
    <col min="15628" max="15628" width="6.140625" customWidth="1"/>
    <col min="15632" max="15632" width="14.28515625" customWidth="1"/>
    <col min="15633" max="15633" width="14" customWidth="1"/>
    <col min="15873" max="15873" width="15.28515625" customWidth="1"/>
    <col min="15874" max="15874" width="6" customWidth="1"/>
    <col min="15875" max="15876" width="6.28515625" customWidth="1"/>
    <col min="15877" max="15877" width="5.5703125" customWidth="1"/>
    <col min="15878" max="15878" width="12.28515625" customWidth="1"/>
    <col min="15879" max="15879" width="5.28515625" customWidth="1"/>
    <col min="15880" max="15880" width="7.42578125" customWidth="1"/>
    <col min="15881" max="15881" width="6.28515625" customWidth="1"/>
    <col min="15882" max="15882" width="5.140625" customWidth="1"/>
    <col min="15883" max="15883" width="5.7109375" customWidth="1"/>
    <col min="15884" max="15884" width="6.140625" customWidth="1"/>
    <col min="15888" max="15888" width="14.28515625" customWidth="1"/>
    <col min="15889" max="15889" width="14" customWidth="1"/>
    <col min="16129" max="16129" width="15.28515625" customWidth="1"/>
    <col min="16130" max="16130" width="6" customWidth="1"/>
    <col min="16131" max="16132" width="6.28515625" customWidth="1"/>
    <col min="16133" max="16133" width="5.5703125" customWidth="1"/>
    <col min="16134" max="16134" width="12.28515625" customWidth="1"/>
    <col min="16135" max="16135" width="5.28515625" customWidth="1"/>
    <col min="16136" max="16136" width="7.42578125" customWidth="1"/>
    <col min="16137" max="16137" width="6.28515625" customWidth="1"/>
    <col min="16138" max="16138" width="5.140625" customWidth="1"/>
    <col min="16139" max="16139" width="5.7109375" customWidth="1"/>
    <col min="16140" max="16140" width="6.140625" customWidth="1"/>
    <col min="16144" max="16144" width="14.28515625" customWidth="1"/>
    <col min="16145" max="16145" width="14" customWidth="1"/>
  </cols>
  <sheetData>
    <row r="1" spans="1:17" s="106" customFormat="1" ht="38.25" x14ac:dyDescent="0.2">
      <c r="A1" s="106" t="s">
        <v>78</v>
      </c>
      <c r="B1" s="106" t="s">
        <v>79</v>
      </c>
      <c r="C1" s="106" t="s">
        <v>80</v>
      </c>
      <c r="D1" s="106" t="s">
        <v>81</v>
      </c>
      <c r="E1" s="106" t="s">
        <v>82</v>
      </c>
      <c r="F1" s="106" t="s">
        <v>83</v>
      </c>
      <c r="G1" s="106" t="s">
        <v>84</v>
      </c>
      <c r="H1" s="106" t="s">
        <v>85</v>
      </c>
      <c r="I1" s="106" t="s">
        <v>86</v>
      </c>
      <c r="J1" s="106" t="s">
        <v>87</v>
      </c>
      <c r="K1" s="106" t="s">
        <v>88</v>
      </c>
      <c r="L1" s="106" t="s">
        <v>89</v>
      </c>
      <c r="M1" s="107" t="s">
        <v>90</v>
      </c>
      <c r="N1" s="108" t="s">
        <v>91</v>
      </c>
      <c r="O1" s="106" t="s">
        <v>92</v>
      </c>
      <c r="P1" s="106" t="s">
        <v>93</v>
      </c>
      <c r="Q1" s="106" t="s">
        <v>94</v>
      </c>
    </row>
    <row r="2" spans="1:17" x14ac:dyDescent="0.2">
      <c r="B2">
        <v>57</v>
      </c>
      <c r="C2" s="110">
        <f t="shared" ref="C2:C13" si="0">B2/$A$12</f>
        <v>49.531645788336931</v>
      </c>
      <c r="D2">
        <v>441</v>
      </c>
      <c r="E2">
        <v>574</v>
      </c>
      <c r="F2" s="109">
        <v>2.6</v>
      </c>
      <c r="G2">
        <v>68</v>
      </c>
      <c r="H2">
        <v>446</v>
      </c>
      <c r="I2">
        <v>253</v>
      </c>
      <c r="J2">
        <v>8.6</v>
      </c>
      <c r="K2">
        <v>7.4</v>
      </c>
      <c r="L2">
        <v>7.4999999999999997E-2</v>
      </c>
      <c r="M2" s="111">
        <f t="shared" ref="M2:M13" si="1">DEGREES(ASIN(D2/(B2*5280/60)))</f>
        <v>5.0438804020601546</v>
      </c>
      <c r="N2" s="109">
        <f t="shared" ref="N2:N13" si="2">H2-I2</f>
        <v>193</v>
      </c>
      <c r="O2" s="112">
        <f t="shared" ref="O2:O13" si="3">N2/$A$9</f>
        <v>8.3913043478260868E-2</v>
      </c>
      <c r="P2" s="113">
        <f t="shared" ref="P2:P13" si="4">DEGREES(ASIN(O2))</f>
        <v>4.8135235383293722</v>
      </c>
      <c r="Q2" s="114">
        <f t="shared" ref="Q2:Q13" si="5">60*O2*B2*5280/3600</f>
        <v>420.9078260869565</v>
      </c>
    </row>
    <row r="3" spans="1:17" x14ac:dyDescent="0.2">
      <c r="A3" s="109" t="s">
        <v>95</v>
      </c>
      <c r="B3">
        <v>60</v>
      </c>
      <c r="C3" s="110">
        <f t="shared" si="0"/>
        <v>52.138574514038879</v>
      </c>
      <c r="D3">
        <v>490</v>
      </c>
      <c r="E3">
        <v>570</v>
      </c>
      <c r="F3" s="109">
        <v>2.7</v>
      </c>
      <c r="G3">
        <v>71</v>
      </c>
      <c r="H3">
        <v>442</v>
      </c>
      <c r="I3">
        <v>238</v>
      </c>
      <c r="J3">
        <v>9.1999999999999993</v>
      </c>
      <c r="K3">
        <v>8.1999999999999993</v>
      </c>
      <c r="L3">
        <v>7.9000000000000001E-2</v>
      </c>
      <c r="M3" s="111">
        <f t="shared" si="1"/>
        <v>5.32488403724523</v>
      </c>
      <c r="N3" s="109">
        <f t="shared" si="2"/>
        <v>204</v>
      </c>
      <c r="O3" s="112">
        <f t="shared" si="3"/>
        <v>8.8695652173913037E-2</v>
      </c>
      <c r="P3" s="113">
        <f t="shared" si="4"/>
        <v>5.0885733613932391</v>
      </c>
      <c r="Q3" s="114">
        <f t="shared" si="5"/>
        <v>468.31304347826085</v>
      </c>
    </row>
    <row r="4" spans="1:17" x14ac:dyDescent="0.2">
      <c r="A4" s="109">
        <v>2003</v>
      </c>
      <c r="B4" s="115">
        <v>70</v>
      </c>
      <c r="C4" s="110">
        <f t="shared" si="0"/>
        <v>60.828336933045357</v>
      </c>
      <c r="D4">
        <v>613</v>
      </c>
      <c r="E4">
        <v>585</v>
      </c>
      <c r="F4" s="109">
        <v>3.2</v>
      </c>
      <c r="G4">
        <v>80</v>
      </c>
      <c r="H4">
        <v>427</v>
      </c>
      <c r="I4">
        <v>209</v>
      </c>
      <c r="J4">
        <v>10.5</v>
      </c>
      <c r="K4">
        <v>10.199999999999999</v>
      </c>
      <c r="L4">
        <v>9.1999999999999998E-2</v>
      </c>
      <c r="M4" s="116">
        <f t="shared" si="1"/>
        <v>5.7111268030530633</v>
      </c>
      <c r="N4" s="117">
        <f t="shared" si="2"/>
        <v>218</v>
      </c>
      <c r="O4" s="112">
        <f t="shared" si="3"/>
        <v>9.4782608695652179E-2</v>
      </c>
      <c r="P4" s="113">
        <f t="shared" si="4"/>
        <v>5.4388077492103575</v>
      </c>
      <c r="Q4" s="114">
        <f t="shared" si="5"/>
        <v>583.8608695652174</v>
      </c>
    </row>
    <row r="5" spans="1:17" x14ac:dyDescent="0.2">
      <c r="A5" s="109" t="s">
        <v>96</v>
      </c>
      <c r="B5">
        <v>80</v>
      </c>
      <c r="C5" s="110">
        <f t="shared" si="0"/>
        <v>69.518099352051834</v>
      </c>
      <c r="D5">
        <v>678</v>
      </c>
      <c r="E5">
        <v>640</v>
      </c>
      <c r="F5" s="109">
        <v>3.6</v>
      </c>
      <c r="G5">
        <v>88</v>
      </c>
      <c r="H5">
        <v>411</v>
      </c>
      <c r="I5">
        <v>200</v>
      </c>
      <c r="J5">
        <v>10.9</v>
      </c>
      <c r="K5">
        <v>11.3</v>
      </c>
      <c r="L5">
        <v>0.105</v>
      </c>
      <c r="M5" s="111">
        <f t="shared" si="1"/>
        <v>5.5265398909658172</v>
      </c>
      <c r="N5" s="109">
        <f t="shared" si="2"/>
        <v>211</v>
      </c>
      <c r="O5" s="112">
        <f t="shared" si="3"/>
        <v>9.1739130434782615E-2</v>
      </c>
      <c r="P5" s="113">
        <f t="shared" si="4"/>
        <v>5.2636659007830984</v>
      </c>
      <c r="Q5" s="114">
        <f t="shared" si="5"/>
        <v>645.84347826086969</v>
      </c>
    </row>
    <row r="6" spans="1:17" x14ac:dyDescent="0.2">
      <c r="A6" s="109" t="s">
        <v>97</v>
      </c>
      <c r="B6">
        <v>90</v>
      </c>
      <c r="C6" s="110">
        <f t="shared" si="0"/>
        <v>78.207861771058319</v>
      </c>
      <c r="D6">
        <v>689</v>
      </c>
      <c r="E6">
        <v>733</v>
      </c>
      <c r="F6" s="109">
        <v>4.0999999999999996</v>
      </c>
      <c r="G6">
        <v>95</v>
      </c>
      <c r="H6">
        <v>394</v>
      </c>
      <c r="I6">
        <v>204</v>
      </c>
      <c r="J6">
        <v>10.7</v>
      </c>
      <c r="K6">
        <v>11.5</v>
      </c>
      <c r="L6">
        <v>0.11800000000000001</v>
      </c>
      <c r="M6" s="111">
        <f t="shared" si="1"/>
        <v>4.9907520991984073</v>
      </c>
      <c r="N6" s="109">
        <f t="shared" si="2"/>
        <v>190</v>
      </c>
      <c r="O6" s="112">
        <f t="shared" si="3"/>
        <v>8.2608695652173908E-2</v>
      </c>
      <c r="P6" s="113">
        <f t="shared" si="4"/>
        <v>4.7385295120980295</v>
      </c>
      <c r="Q6" s="114">
        <f t="shared" si="5"/>
        <v>654.26086956521738</v>
      </c>
    </row>
    <row r="7" spans="1:17" x14ac:dyDescent="0.2">
      <c r="B7">
        <v>100</v>
      </c>
      <c r="C7" s="110">
        <f t="shared" si="0"/>
        <v>86.897624190064803</v>
      </c>
      <c r="D7">
        <v>647</v>
      </c>
      <c r="E7">
        <v>866</v>
      </c>
      <c r="F7" s="109">
        <v>4.5</v>
      </c>
      <c r="G7">
        <v>101</v>
      </c>
      <c r="H7">
        <v>378</v>
      </c>
      <c r="I7">
        <v>217</v>
      </c>
      <c r="J7">
        <v>10.1</v>
      </c>
      <c r="K7">
        <v>10.8</v>
      </c>
      <c r="L7">
        <v>0.13100000000000001</v>
      </c>
      <c r="M7" s="111">
        <f t="shared" si="1"/>
        <v>4.2163464462108973</v>
      </c>
      <c r="N7" s="109">
        <f t="shared" si="2"/>
        <v>161</v>
      </c>
      <c r="O7" s="112">
        <f t="shared" si="3"/>
        <v>7.0000000000000007E-2</v>
      </c>
      <c r="P7" s="113">
        <f t="shared" si="4"/>
        <v>4.0139872180563145</v>
      </c>
      <c r="Q7" s="114">
        <f t="shared" si="5"/>
        <v>616</v>
      </c>
    </row>
    <row r="8" spans="1:17" x14ac:dyDescent="0.2">
      <c r="A8" s="109" t="s">
        <v>98</v>
      </c>
      <c r="B8">
        <v>110</v>
      </c>
      <c r="C8" s="110">
        <f t="shared" si="0"/>
        <v>95.587386609071274</v>
      </c>
      <c r="D8">
        <v>551</v>
      </c>
      <c r="E8">
        <v>1040</v>
      </c>
      <c r="F8" s="109">
        <v>5</v>
      </c>
      <c r="G8">
        <v>106</v>
      </c>
      <c r="H8">
        <v>362</v>
      </c>
      <c r="I8">
        <v>237</v>
      </c>
      <c r="J8">
        <v>9.1999999999999993</v>
      </c>
      <c r="K8">
        <v>9.1999999999999993</v>
      </c>
      <c r="L8">
        <v>0.14499999999999999</v>
      </c>
      <c r="M8" s="111">
        <f t="shared" si="1"/>
        <v>3.2631247413078084</v>
      </c>
      <c r="N8" s="109">
        <f t="shared" si="2"/>
        <v>125</v>
      </c>
      <c r="O8" s="112">
        <f t="shared" si="3"/>
        <v>5.434782608695652E-2</v>
      </c>
      <c r="P8" s="113">
        <f t="shared" si="4"/>
        <v>3.1154360160016665</v>
      </c>
      <c r="Q8" s="114">
        <f t="shared" si="5"/>
        <v>526.08695652173913</v>
      </c>
    </row>
    <row r="9" spans="1:17" x14ac:dyDescent="0.2">
      <c r="A9" s="109">
        <v>2300</v>
      </c>
      <c r="B9">
        <v>120</v>
      </c>
      <c r="C9" s="110">
        <f t="shared" si="0"/>
        <v>104.27714902807776</v>
      </c>
      <c r="D9">
        <v>401</v>
      </c>
      <c r="E9">
        <v>1256</v>
      </c>
      <c r="F9" s="109">
        <v>5.4</v>
      </c>
      <c r="G9">
        <v>111</v>
      </c>
      <c r="H9">
        <v>346</v>
      </c>
      <c r="I9">
        <v>263</v>
      </c>
      <c r="J9">
        <v>8.3000000000000007</v>
      </c>
      <c r="K9">
        <v>6.7</v>
      </c>
      <c r="L9">
        <v>0.158</v>
      </c>
      <c r="M9" s="111">
        <f t="shared" si="1"/>
        <v>2.1762436477159701</v>
      </c>
      <c r="N9" s="109">
        <f t="shared" si="2"/>
        <v>83</v>
      </c>
      <c r="O9" s="112">
        <f t="shared" si="3"/>
        <v>3.6086956521739127E-2</v>
      </c>
      <c r="P9" s="113">
        <f t="shared" si="4"/>
        <v>2.0680793356380178</v>
      </c>
      <c r="Q9" s="114">
        <f t="shared" si="5"/>
        <v>381.07826086956521</v>
      </c>
    </row>
    <row r="10" spans="1:17" x14ac:dyDescent="0.2">
      <c r="B10">
        <v>130</v>
      </c>
      <c r="C10" s="110">
        <f t="shared" si="0"/>
        <v>112.96691144708424</v>
      </c>
      <c r="D10">
        <v>195</v>
      </c>
      <c r="E10">
        <v>1516</v>
      </c>
      <c r="F10" s="109">
        <v>5.9</v>
      </c>
      <c r="G10">
        <v>115</v>
      </c>
      <c r="H10">
        <v>331</v>
      </c>
      <c r="I10">
        <v>294</v>
      </c>
      <c r="J10">
        <v>7.4</v>
      </c>
      <c r="K10">
        <v>3.2</v>
      </c>
      <c r="L10">
        <v>0.17100000000000001</v>
      </c>
      <c r="M10" s="111">
        <f t="shared" si="1"/>
        <v>0.97667990455143883</v>
      </c>
      <c r="N10" s="109">
        <f t="shared" si="2"/>
        <v>37</v>
      </c>
      <c r="O10" s="112">
        <f t="shared" si="3"/>
        <v>1.6086956521739131E-2</v>
      </c>
      <c r="P10" s="113">
        <f t="shared" si="4"/>
        <v>0.92175447365446284</v>
      </c>
      <c r="Q10" s="114">
        <f t="shared" si="5"/>
        <v>184.03478260869565</v>
      </c>
    </row>
    <row r="11" spans="1:17" x14ac:dyDescent="0.2">
      <c r="A11" s="109" t="s">
        <v>73</v>
      </c>
      <c r="B11">
        <v>140</v>
      </c>
      <c r="C11" s="110">
        <f t="shared" si="0"/>
        <v>121.65667386609071</v>
      </c>
      <c r="D11">
        <v>-68</v>
      </c>
      <c r="E11">
        <v>1823</v>
      </c>
      <c r="F11" s="109">
        <v>6.3</v>
      </c>
      <c r="G11">
        <v>118</v>
      </c>
      <c r="H11">
        <v>317</v>
      </c>
      <c r="I11">
        <v>329</v>
      </c>
      <c r="J11">
        <v>6.6</v>
      </c>
      <c r="K11">
        <v>-1.1000000000000001</v>
      </c>
      <c r="L11">
        <v>0.184</v>
      </c>
      <c r="M11" s="111">
        <f t="shared" si="1"/>
        <v>-0.31624454459879814</v>
      </c>
      <c r="N11" s="109">
        <f t="shared" si="2"/>
        <v>-12</v>
      </c>
      <c r="O11" s="112">
        <f t="shared" si="3"/>
        <v>-5.2173913043478265E-3</v>
      </c>
      <c r="P11" s="113">
        <f t="shared" si="4"/>
        <v>-0.2989358580485823</v>
      </c>
      <c r="Q11" s="114">
        <f t="shared" si="5"/>
        <v>-64.278260869565216</v>
      </c>
    </row>
    <row r="12" spans="1:17" x14ac:dyDescent="0.2">
      <c r="A12" s="109">
        <f>1852/(5280*0.3048)</f>
        <v>1.1507794480235425</v>
      </c>
      <c r="B12">
        <v>150</v>
      </c>
      <c r="C12" s="110">
        <f t="shared" si="0"/>
        <v>130.34643628509718</v>
      </c>
      <c r="D12">
        <v>-391</v>
      </c>
      <c r="E12">
        <v>2177</v>
      </c>
      <c r="F12" s="109">
        <v>6.8</v>
      </c>
      <c r="G12">
        <v>122</v>
      </c>
      <c r="H12">
        <v>304</v>
      </c>
      <c r="I12">
        <v>369</v>
      </c>
      <c r="J12">
        <v>5.9</v>
      </c>
      <c r="K12">
        <v>-6.5</v>
      </c>
      <c r="L12">
        <v>0.19700000000000001</v>
      </c>
      <c r="M12" s="111">
        <f t="shared" si="1"/>
        <v>-1.6974187241270544</v>
      </c>
      <c r="N12" s="109">
        <f t="shared" si="2"/>
        <v>-65</v>
      </c>
      <c r="O12" s="112">
        <f t="shared" si="3"/>
        <v>-2.8260869565217391E-2</v>
      </c>
      <c r="P12" s="113">
        <f t="shared" si="4"/>
        <v>-1.6194441689920356</v>
      </c>
      <c r="Q12" s="114">
        <f t="shared" si="5"/>
        <v>-373.04347826086956</v>
      </c>
    </row>
    <row r="13" spans="1:17" x14ac:dyDescent="0.2">
      <c r="B13">
        <v>154</v>
      </c>
      <c r="C13" s="110">
        <f t="shared" si="0"/>
        <v>133.8223412526998</v>
      </c>
      <c r="D13">
        <v>-537</v>
      </c>
      <c r="E13">
        <v>2332</v>
      </c>
      <c r="F13" s="109">
        <v>6.9</v>
      </c>
      <c r="G13">
        <v>123</v>
      </c>
      <c r="H13">
        <v>299</v>
      </c>
      <c r="I13">
        <v>385</v>
      </c>
      <c r="J13">
        <v>5.7</v>
      </c>
      <c r="K13">
        <v>-8.9</v>
      </c>
      <c r="L13">
        <v>0.20200000000000001</v>
      </c>
      <c r="M13" s="111">
        <f t="shared" si="1"/>
        <v>-2.2709482726150294</v>
      </c>
      <c r="N13" s="109">
        <f t="shared" si="2"/>
        <v>-86</v>
      </c>
      <c r="O13" s="112">
        <f t="shared" si="3"/>
        <v>-3.7391304347826088E-2</v>
      </c>
      <c r="P13" s="113">
        <f t="shared" si="4"/>
        <v>-2.1428634539028617</v>
      </c>
      <c r="Q13" s="114">
        <f t="shared" si="5"/>
        <v>-506.72695652173911</v>
      </c>
    </row>
    <row r="15" spans="1:17" x14ac:dyDescent="0.2">
      <c r="P15" s="115" t="s">
        <v>141</v>
      </c>
      <c r="Q15" s="115" t="s">
        <v>142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orientation="portrait" useFirstPageNumber="1" horizontalDpi="300" verticalDpi="300"/>
  <headerFooter alignWithMargins="0"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Runway design</vt:lpstr>
      <vt:lpstr>McIver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JMW</dc:creator>
  <cp:lastModifiedBy>JMW</cp:lastModifiedBy>
  <dcterms:created xsi:type="dcterms:W3CDTF">2018-02-17T19:38:23Z</dcterms:created>
  <dcterms:modified xsi:type="dcterms:W3CDTF">2018-03-12T21:46:51Z</dcterms:modified>
</cp:coreProperties>
</file>