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6380" windowHeight="8190"/>
  </bookViews>
  <sheets>
    <sheet name="Runway design" sheetId="1" r:id="rId1"/>
  </sheets>
  <calcPr calcId="145621" iterateDelta="1E-4"/>
</workbook>
</file>

<file path=xl/calcChain.xml><?xml version="1.0" encoding="utf-8"?>
<calcChain xmlns="http://schemas.openxmlformats.org/spreadsheetml/2006/main">
  <c r="R15" i="1" l="1"/>
  <c r="L15" i="1" s="1"/>
  <c r="J15" i="1" s="1"/>
  <c r="F15" i="1"/>
  <c r="G15" i="1" s="1"/>
  <c r="AI8" i="1"/>
  <c r="I8" i="1" s="1"/>
  <c r="F14" i="1"/>
  <c r="G14" i="1" s="1"/>
  <c r="F13" i="1"/>
  <c r="G13" i="1" s="1"/>
  <c r="F12" i="1"/>
  <c r="F11" i="1"/>
  <c r="G11" i="1" s="1"/>
  <c r="F10" i="1"/>
  <c r="G10" i="1" s="1"/>
  <c r="F9" i="1"/>
  <c r="G9" i="1" s="1"/>
  <c r="F8" i="1"/>
  <c r="G8" i="1" s="1"/>
  <c r="N8" i="1" s="1"/>
  <c r="F7" i="1"/>
  <c r="G7" i="1"/>
  <c r="J5" i="1"/>
  <c r="AC9" i="1"/>
  <c r="AD9" i="1"/>
  <c r="AC11" i="1"/>
  <c r="AD11" i="1"/>
  <c r="AC13" i="1"/>
  <c r="AD13" i="1"/>
  <c r="AE13" i="1" s="1"/>
  <c r="L13" i="1" s="1"/>
  <c r="J13" i="1" s="1"/>
  <c r="AB9" i="1"/>
  <c r="AB11" i="1"/>
  <c r="AB13" i="1"/>
  <c r="Y9" i="1"/>
  <c r="Y11" i="1"/>
  <c r="Y13" i="1"/>
  <c r="AI12" i="1"/>
  <c r="I12" i="1"/>
  <c r="N12" i="1" s="1"/>
  <c r="AI14" i="1"/>
  <c r="I14" i="1" s="1"/>
  <c r="AI10" i="1"/>
  <c r="I10" i="1"/>
  <c r="N10" i="1" s="1"/>
  <c r="G12" i="1"/>
  <c r="H2" i="1"/>
  <c r="G5" i="1"/>
  <c r="N5" i="1"/>
  <c r="I5" i="1" s="1"/>
  <c r="H5" i="1" s="1"/>
  <c r="R5" i="1"/>
  <c r="U5" i="1" s="1"/>
  <c r="G6" i="1"/>
  <c r="N6" i="1" s="1"/>
  <c r="P6" i="1"/>
  <c r="R7" i="1"/>
  <c r="Y7" i="1"/>
  <c r="AB7" i="1"/>
  <c r="AC7" i="1"/>
  <c r="AD7" i="1"/>
  <c r="J7" i="1"/>
  <c r="AE9" i="1" l="1"/>
  <c r="L9" i="1" s="1"/>
  <c r="J9" i="1" s="1"/>
  <c r="T5" i="1"/>
  <c r="P14" i="1"/>
  <c r="P10" i="1"/>
  <c r="Q10" i="1" s="1"/>
  <c r="R10" i="1" s="1"/>
  <c r="Q14" i="1"/>
  <c r="R14" i="1" s="1"/>
  <c r="T14" i="1" s="1"/>
  <c r="P12" i="1"/>
  <c r="T15" i="1"/>
  <c r="U15" i="1"/>
  <c r="N15" i="1" s="1"/>
  <c r="I15" i="1" s="1"/>
  <c r="H6" i="1"/>
  <c r="Q6" i="1" s="1"/>
  <c r="R6" i="1" s="1"/>
  <c r="M6" i="1"/>
  <c r="J6" i="1" s="1"/>
  <c r="K5" i="1" s="1"/>
  <c r="U7" i="1"/>
  <c r="P8" i="1"/>
  <c r="H10" i="1"/>
  <c r="L10" i="1" s="1"/>
  <c r="H8" i="1"/>
  <c r="M8" i="1"/>
  <c r="J8" i="1" s="1"/>
  <c r="K7" i="1" s="1"/>
  <c r="AE7" i="1"/>
  <c r="H12" i="1"/>
  <c r="J12" i="1" s="1"/>
  <c r="AE11" i="1"/>
  <c r="L11" i="1" s="1"/>
  <c r="N11" i="1" s="1"/>
  <c r="I11" i="1" s="1"/>
  <c r="H11" i="1" s="1"/>
  <c r="U6" i="1"/>
  <c r="T6" i="1"/>
  <c r="N14" i="1"/>
  <c r="H14" i="1"/>
  <c r="L14" i="1" s="1"/>
  <c r="N13" i="1"/>
  <c r="I13" i="1" s="1"/>
  <c r="H13" i="1" s="1"/>
  <c r="N7" i="1"/>
  <c r="I7" i="1" s="1"/>
  <c r="H7" i="1" s="1"/>
  <c r="T7" i="1"/>
  <c r="N9" i="1" l="1"/>
  <c r="I9" i="1" s="1"/>
  <c r="H9" i="1" s="1"/>
  <c r="U14" i="1"/>
  <c r="J11" i="1"/>
  <c r="K11" i="1" s="1"/>
  <c r="U10" i="1"/>
  <c r="T10" i="1"/>
  <c r="J10" i="1"/>
  <c r="K9" i="1" s="1"/>
  <c r="Q12" i="1"/>
  <c r="R12" i="1" s="1"/>
  <c r="L12" i="1"/>
  <c r="Q8" i="1"/>
  <c r="R8" i="1" s="1"/>
  <c r="J14" i="1"/>
  <c r="K13" i="1" s="1"/>
  <c r="U12" i="1" l="1"/>
  <c r="T12" i="1"/>
  <c r="T8" i="1"/>
  <c r="U8" i="1"/>
  <c r="H15" i="1"/>
</calcChain>
</file>

<file path=xl/comments1.xml><?xml version="1.0" encoding="utf-8"?>
<comments xmlns="http://schemas.openxmlformats.org/spreadsheetml/2006/main">
  <authors>
    <author>JMW</author>
  </authors>
  <commentList>
    <comment ref="A15" authorId="0">
      <text>
        <r>
          <rPr>
            <b/>
            <sz val="11"/>
            <color indexed="81"/>
            <rFont val="Tahoma"/>
            <family val="2"/>
          </rPr>
          <t>5,650' Altitude NOT SL &amp;
a 9.5 Knot fixed headwind</t>
        </r>
      </text>
    </comment>
  </commentList>
</comments>
</file>

<file path=xl/sharedStrings.xml><?xml version="1.0" encoding="utf-8"?>
<sst xmlns="http://schemas.openxmlformats.org/spreadsheetml/2006/main" count="101" uniqueCount="67">
  <si>
    <t>Wind, Kts</t>
  </si>
  <si>
    <t>STND SL</t>
  </si>
  <si>
    <t>Wind, fpm</t>
  </si>
  <si>
    <t>Cleared</t>
  </si>
  <si>
    <t>Total</t>
  </si>
  <si>
    <t>Gross Wt.</t>
  </si>
  <si>
    <t>IAS</t>
  </si>
  <si>
    <t>TAS</t>
  </si>
  <si>
    <t>GS</t>
  </si>
  <si>
    <t>Obstacle</t>
  </si>
  <si>
    <t>Ground</t>
  </si>
  <si>
    <t>Distance</t>
  </si>
  <si>
    <t>DtC -</t>
  </si>
  <si>
    <t>MPH</t>
  </si>
  <si>
    <t>fpm</t>
  </si>
  <si>
    <t>Rate, fpm</t>
  </si>
  <si>
    <t>Angle</t>
  </si>
  <si>
    <t>Obs. Dist,'</t>
  </si>
  <si>
    <t xml:space="preserve"> Height, '</t>
  </si>
  <si>
    <t>Time, s</t>
  </si>
  <si>
    <t>Run, '</t>
  </si>
  <si>
    <t>to Clear, '</t>
  </si>
  <si>
    <t>GR</t>
  </si>
  <si>
    <t>obstacle,'</t>
  </si>
  <si>
    <t>ang</t>
  </si>
  <si>
    <t>'64 C150</t>
  </si>
  <si>
    <t>Vx</t>
  </si>
  <si>
    <t>Vy</t>
  </si>
  <si>
    <t>10 deg. C</t>
  </si>
  <si>
    <t>20 deg. C</t>
  </si>
  <si>
    <t>15 deg. C</t>
  </si>
  <si>
    <t>'78 C152</t>
  </si>
  <si>
    <t>NN</t>
  </si>
  <si>
    <t>~ user input (- = Tailwind)</t>
  </si>
  <si>
    <t>~ Bold # entered from POH</t>
  </si>
  <si>
    <t>~ computed #</t>
  </si>
  <si>
    <t>Notes:</t>
  </si>
  <si>
    <t>GS reduces TAS by vertical compnet (Climb/Descent rate)</t>
  </si>
  <si>
    <t>Conclusion ???</t>
  </si>
  <si>
    <t>The above has both the Vx &amp; Vy aircraft lifting off the runway at the same distnce from the obstacle</t>
  </si>
  <si>
    <t>In fact the Vx aircraft will lift off well before the Vy aircraft due to the additional ground roll the Vy aircraft needs to attain the Vy speed.</t>
  </si>
  <si>
    <t>...SO??  Vx does NOT give the best angle of climb, it only increases the distance from an obstacle at lift off relative to Vy.</t>
  </si>
  <si>
    <t>Some rather newsworthy obsevations (if true).</t>
  </si>
  <si>
    <t xml:space="preserve"> I always had the standard understanding; ANYtime you need to clear an obstacle (not just on TO) fly Vx, but if you're inflight that could run you into a mountainside while you may have cleared it at Vy.</t>
  </si>
  <si>
    <t>...one component not explicitly modeled is the thrust vector increased contribution to climb rate for Vx due to the greater AOA, although it should be inherent in the POH's "Obs. Dist" and "Cleared Obstacle Height"</t>
  </si>
  <si>
    <t>4000#</t>
  </si>
  <si>
    <t>3700#</t>
  </si>
  <si>
    <t>3400#</t>
  </si>
  <si>
    <t>fpm Climb Rate</t>
  </si>
  <si>
    <t>~ not specified nor was performance table used for obstacle clearance, just Vy</t>
  </si>
  <si>
    <t>0° C</t>
  </si>
  <si>
    <t>20° C</t>
  </si>
  <si>
    <t>15° C</t>
  </si>
  <si>
    <t>IAS Kts</t>
  </si>
  <si>
    <t>LO</t>
  </si>
  <si>
    <t>50'</t>
  </si>
  <si>
    <t>'82 CT210N</t>
  </si>
  <si>
    <t>Climb</t>
  </si>
  <si>
    <t>A36</t>
  </si>
  <si>
    <t>3600#</t>
  </si>
  <si>
    <r>
      <t>Vy</t>
    </r>
    <r>
      <rPr>
        <sz val="11"/>
        <color indexed="8"/>
        <rFont val="Symbol"/>
        <family val="1"/>
        <charset val="2"/>
      </rPr>
      <t>°</t>
    </r>
    <r>
      <rPr>
        <sz val="11"/>
        <color indexed="8"/>
        <rFont val="Arial"/>
        <family val="2"/>
      </rPr>
      <t>&gt;Vx</t>
    </r>
  </si>
  <si>
    <t xml:space="preserve"> ~ ???!!</t>
  </si>
  <si>
    <t>~ Ground roll and total distance estimated using constant acceleration to Vy</t>
  </si>
  <si>
    <t>~ Constant acceleration adjusted for different input cell locations from above</t>
  </si>
  <si>
    <t>These POHs give a lot of specification of Vy climb rates (at various Temps / Alts), but NO climb rates for Vx</t>
  </si>
  <si>
    <t>Vy (best rate) gives about 1.5 degrees more gradient than Vx (best ANGLE??)</t>
  </si>
  <si>
    <t>Vy is best whole airplane L/D at max power while Vx is whole airplane Max CL at max power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</si>
</sst>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1" x14ac:knownFonts="1">
    <font>
      <sz val="10"/>
      <name val="Arial"/>
      <family val="2"/>
    </font>
    <font>
      <sz val="11"/>
      <color indexed="8"/>
      <name val="Arial"/>
      <family val="2"/>
      <charset val="1"/>
    </font>
    <font>
      <b/>
      <sz val="11"/>
      <color indexed="8"/>
      <name val="Arial"/>
      <family val="2"/>
      <charset val="1"/>
    </font>
    <font>
      <b/>
      <sz val="11"/>
      <color indexed="8"/>
      <name val="Arial"/>
      <family val="2"/>
    </font>
    <font>
      <sz val="11"/>
      <color indexed="8"/>
      <name val="Arial"/>
      <family val="2"/>
    </font>
    <font>
      <sz val="11"/>
      <color indexed="8"/>
      <name val="Symbol"/>
      <family val="1"/>
      <charset val="2"/>
    </font>
    <font>
      <i/>
      <sz val="11"/>
      <color rgb="FFFF0000"/>
      <name val="Arial"/>
      <family val="2"/>
    </font>
    <font>
      <i/>
      <sz val="11"/>
      <color indexed="8"/>
      <name val="Arial"/>
      <family val="2"/>
    </font>
    <font>
      <b/>
      <sz val="11"/>
      <name val="Arial"/>
      <family val="2"/>
    </font>
    <font>
      <sz val="11"/>
      <name val="Arial"/>
      <family val="2"/>
    </font>
    <font>
      <b/>
      <sz val="11"/>
      <color indexed="81"/>
      <name val="Tahoma"/>
      <family val="2"/>
    </font>
  </fonts>
  <fills count="11">
    <fill>
      <patternFill patternType="none"/>
    </fill>
    <fill>
      <patternFill patternType="gray125"/>
    </fill>
    <fill>
      <patternFill patternType="solid">
        <fgColor indexed="42"/>
        <bgColor indexed="27"/>
      </patternFill>
    </fill>
    <fill>
      <patternFill patternType="solid">
        <fgColor theme="0" tint="-0.14999847407452621"/>
        <bgColor indexed="64"/>
      </patternFill>
    </fill>
    <fill>
      <patternFill patternType="solid">
        <fgColor rgb="FFFFFF00"/>
        <bgColor indexed="64"/>
      </patternFill>
    </fill>
    <fill>
      <patternFill patternType="solid">
        <fgColor rgb="FFFFFF00"/>
        <bgColor indexed="34"/>
      </patternFill>
    </fill>
    <fill>
      <patternFill patternType="solid">
        <fgColor rgb="FFFFFF00"/>
        <bgColor indexed="13"/>
      </patternFill>
    </fill>
    <fill>
      <patternFill patternType="solid">
        <fgColor theme="6" tint="0.79998168889431442"/>
        <bgColor indexed="34"/>
      </patternFill>
    </fill>
    <fill>
      <patternFill patternType="solid">
        <fgColor theme="6" tint="0.79998168889431442"/>
        <bgColor indexed="13"/>
      </patternFill>
    </fill>
    <fill>
      <patternFill patternType="solid">
        <fgColor theme="5" tint="0.79998168889431442"/>
        <bgColor indexed="64"/>
      </patternFill>
    </fill>
    <fill>
      <patternFill patternType="solid">
        <fgColor theme="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0" fontId="1" fillId="0" borderId="0"/>
  </cellStyleXfs>
  <cellXfs count="86">
    <xf numFmtId="0" fontId="0" fillId="0" borderId="0" xfId="0"/>
    <xf numFmtId="0" fontId="1" fillId="0" borderId="0" xfId="1"/>
    <xf numFmtId="0" fontId="1" fillId="0" borderId="0" xfId="1" applyAlignment="1">
      <alignment horizontal="center"/>
    </xf>
    <xf numFmtId="0" fontId="2" fillId="0" borderId="0" xfId="1" applyFont="1" applyAlignment="1">
      <alignment horizontal="center"/>
    </xf>
    <xf numFmtId="0" fontId="1" fillId="2" borderId="0" xfId="1" applyFill="1"/>
    <xf numFmtId="0" fontId="2" fillId="0" borderId="0" xfId="1" applyFont="1"/>
    <xf numFmtId="3" fontId="3" fillId="0" borderId="1" xfId="1" applyNumberFormat="1" applyFont="1" applyBorder="1" applyAlignment="1">
      <alignment horizontal="center"/>
    </xf>
    <xf numFmtId="164" fontId="6" fillId="0" borderId="1" xfId="1" applyNumberFormat="1" applyFont="1" applyBorder="1" applyAlignment="1">
      <alignment horizontal="center"/>
    </xf>
    <xf numFmtId="0" fontId="6" fillId="0" borderId="0" xfId="1" applyFont="1" applyAlignment="1">
      <alignment horizontal="center"/>
    </xf>
    <xf numFmtId="0" fontId="4" fillId="0" borderId="0" xfId="1" applyFont="1"/>
    <xf numFmtId="0" fontId="4" fillId="0" borderId="0" xfId="1" applyFont="1" applyAlignment="1">
      <alignment horizontal="center"/>
    </xf>
    <xf numFmtId="3" fontId="4" fillId="0" borderId="0" xfId="1" applyNumberFormat="1" applyFont="1" applyAlignment="1">
      <alignment horizontal="center"/>
    </xf>
    <xf numFmtId="3" fontId="4" fillId="0" borderId="1" xfId="1" applyNumberFormat="1" applyFont="1" applyBorder="1" applyAlignment="1">
      <alignment horizontal="center"/>
    </xf>
    <xf numFmtId="164" fontId="4" fillId="0" borderId="1" xfId="1" applyNumberFormat="1" applyFont="1" applyBorder="1" applyAlignment="1">
      <alignment horizontal="center"/>
    </xf>
    <xf numFmtId="165" fontId="4" fillId="0" borderId="1" xfId="1" applyNumberFormat="1" applyFont="1" applyBorder="1" applyAlignment="1">
      <alignment horizontal="center"/>
    </xf>
    <xf numFmtId="165" fontId="4" fillId="0" borderId="0" xfId="1" applyNumberFormat="1" applyFont="1" applyAlignment="1">
      <alignment horizontal="center"/>
    </xf>
    <xf numFmtId="0" fontId="4" fillId="0" borderId="1" xfId="1" applyFont="1" applyBorder="1" applyAlignment="1">
      <alignment horizontal="center"/>
    </xf>
    <xf numFmtId="0" fontId="4" fillId="0" borderId="2" xfId="1" applyFont="1" applyBorder="1" applyAlignment="1">
      <alignment horizontal="center"/>
    </xf>
    <xf numFmtId="0" fontId="3" fillId="0" borderId="1" xfId="1" applyFont="1" applyBorder="1" applyAlignment="1">
      <alignment horizontal="right"/>
    </xf>
    <xf numFmtId="1" fontId="3" fillId="0" borderId="1" xfId="1" applyNumberFormat="1" applyFont="1" applyBorder="1" applyAlignment="1">
      <alignment horizontal="right"/>
    </xf>
    <xf numFmtId="3" fontId="4" fillId="0" borderId="1" xfId="1" applyNumberFormat="1" applyFont="1" applyBorder="1" applyAlignment="1">
      <alignment horizontal="right"/>
    </xf>
    <xf numFmtId="0" fontId="4" fillId="0" borderId="1" xfId="1" applyFont="1" applyBorder="1" applyAlignment="1">
      <alignment horizontal="right"/>
    </xf>
    <xf numFmtId="0" fontId="8" fillId="0" borderId="1" xfId="0" applyFont="1" applyBorder="1" applyAlignment="1">
      <alignment horizontal="right" vertical="center"/>
    </xf>
    <xf numFmtId="1" fontId="4" fillId="0" borderId="1" xfId="1" applyNumberFormat="1" applyFont="1" applyBorder="1" applyAlignment="1">
      <alignment horizontal="right"/>
    </xf>
    <xf numFmtId="0" fontId="4" fillId="0" borderId="3" xfId="1" applyFont="1" applyBorder="1" applyAlignment="1">
      <alignment horizontal="center"/>
    </xf>
    <xf numFmtId="0" fontId="4" fillId="2" borderId="1" xfId="1" applyFont="1" applyFill="1" applyBorder="1" applyAlignment="1">
      <alignment horizontal="center"/>
    </xf>
    <xf numFmtId="0" fontId="4" fillId="0" borderId="0" xfId="1" applyFont="1" applyBorder="1" applyAlignment="1">
      <alignment horizontal="center"/>
    </xf>
    <xf numFmtId="0" fontId="4" fillId="0" borderId="7" xfId="1" applyFont="1" applyBorder="1" applyAlignment="1">
      <alignment horizontal="center"/>
    </xf>
    <xf numFmtId="0" fontId="4" fillId="0" borderId="8" xfId="1" applyFont="1" applyBorder="1" applyAlignment="1">
      <alignment horizontal="center"/>
    </xf>
    <xf numFmtId="0" fontId="3" fillId="3" borderId="1" xfId="1" applyFont="1" applyFill="1" applyBorder="1" applyAlignment="1">
      <alignment horizontal="right" vertical="center"/>
    </xf>
    <xf numFmtId="1" fontId="4" fillId="3" borderId="1" xfId="1" applyNumberFormat="1" applyFont="1" applyFill="1" applyBorder="1" applyAlignment="1">
      <alignment horizontal="right"/>
    </xf>
    <xf numFmtId="3" fontId="4" fillId="3" borderId="1" xfId="1" applyNumberFormat="1" applyFont="1" applyFill="1" applyBorder="1" applyAlignment="1">
      <alignment horizontal="right"/>
    </xf>
    <xf numFmtId="3" fontId="4" fillId="3" borderId="1" xfId="1" applyNumberFormat="1" applyFont="1" applyFill="1" applyBorder="1" applyAlignment="1">
      <alignment horizontal="center"/>
    </xf>
    <xf numFmtId="164" fontId="4" fillId="3" borderId="1" xfId="1" applyNumberFormat="1" applyFont="1" applyFill="1" applyBorder="1" applyAlignment="1">
      <alignment horizontal="center"/>
    </xf>
    <xf numFmtId="164" fontId="3" fillId="3" borderId="1" xfId="1" applyNumberFormat="1" applyFont="1" applyFill="1" applyBorder="1" applyAlignment="1">
      <alignment horizontal="center"/>
    </xf>
    <xf numFmtId="165" fontId="4" fillId="3" borderId="1" xfId="1" applyNumberFormat="1" applyFont="1" applyFill="1" applyBorder="1" applyAlignment="1">
      <alignment horizontal="center"/>
    </xf>
    <xf numFmtId="0" fontId="4" fillId="3" borderId="0" xfId="1" applyFont="1" applyFill="1"/>
    <xf numFmtId="0" fontId="4" fillId="3" borderId="0" xfId="1" applyFont="1" applyFill="1" applyAlignment="1">
      <alignment horizontal="center"/>
    </xf>
    <xf numFmtId="3" fontId="3" fillId="3" borderId="1" xfId="1" applyNumberFormat="1" applyFont="1" applyFill="1" applyBorder="1" applyAlignment="1">
      <alignment horizontal="center"/>
    </xf>
    <xf numFmtId="0" fontId="3" fillId="3" borderId="2" xfId="1" applyFont="1" applyFill="1" applyBorder="1" applyAlignment="1">
      <alignment horizontal="center"/>
    </xf>
    <xf numFmtId="0" fontId="4" fillId="3" borderId="2" xfId="1" applyFont="1" applyFill="1" applyBorder="1" applyAlignment="1">
      <alignment horizontal="center"/>
    </xf>
    <xf numFmtId="0" fontId="3" fillId="3" borderId="1" xfId="1" applyFont="1" applyFill="1" applyBorder="1" applyAlignment="1">
      <alignment horizontal="right"/>
    </xf>
    <xf numFmtId="3" fontId="7" fillId="3" borderId="1" xfId="1" applyNumberFormat="1" applyFont="1" applyFill="1" applyBorder="1" applyAlignment="1">
      <alignment horizontal="center"/>
    </xf>
    <xf numFmtId="164" fontId="6" fillId="3" borderId="1" xfId="1" applyNumberFormat="1" applyFont="1" applyFill="1" applyBorder="1" applyAlignment="1">
      <alignment horizontal="center"/>
    </xf>
    <xf numFmtId="165" fontId="4" fillId="3" borderId="0" xfId="1" applyNumberFormat="1" applyFont="1" applyFill="1" applyAlignment="1">
      <alignment horizontal="center"/>
    </xf>
    <xf numFmtId="0" fontId="3" fillId="3" borderId="1" xfId="1" applyFont="1" applyFill="1" applyBorder="1" applyAlignment="1">
      <alignment horizontal="center"/>
    </xf>
    <xf numFmtId="0" fontId="4" fillId="3" borderId="1" xfId="1" applyFont="1" applyFill="1" applyBorder="1" applyAlignment="1">
      <alignment horizontal="center"/>
    </xf>
    <xf numFmtId="3" fontId="3" fillId="3" borderId="2" xfId="1" applyNumberFormat="1" applyFont="1" applyFill="1" applyBorder="1" applyAlignment="1">
      <alignment horizontal="center"/>
    </xf>
    <xf numFmtId="3" fontId="4" fillId="3" borderId="2" xfId="1" applyNumberFormat="1" applyFont="1" applyFill="1" applyBorder="1" applyAlignment="1">
      <alignment horizontal="center"/>
    </xf>
    <xf numFmtId="0" fontId="4" fillId="3" borderId="1" xfId="1" applyFont="1" applyFill="1" applyBorder="1" applyAlignment="1">
      <alignment horizontal="right"/>
    </xf>
    <xf numFmtId="165" fontId="4" fillId="3" borderId="2" xfId="1" applyNumberFormat="1" applyFont="1" applyFill="1" applyBorder="1" applyAlignment="1">
      <alignment horizontal="center"/>
    </xf>
    <xf numFmtId="0" fontId="3" fillId="0" borderId="2" xfId="1" applyFont="1" applyFill="1" applyBorder="1" applyAlignment="1">
      <alignment horizontal="center"/>
    </xf>
    <xf numFmtId="0" fontId="4" fillId="0" borderId="2" xfId="1" applyFont="1" applyFill="1" applyBorder="1" applyAlignment="1">
      <alignment horizontal="center"/>
    </xf>
    <xf numFmtId="0" fontId="4" fillId="0" borderId="1" xfId="1" applyFont="1" applyBorder="1"/>
    <xf numFmtId="0" fontId="1" fillId="3" borderId="1" xfId="1" applyFill="1" applyBorder="1"/>
    <xf numFmtId="0" fontId="3" fillId="0" borderId="1" xfId="1" applyFont="1" applyBorder="1"/>
    <xf numFmtId="0" fontId="3" fillId="3" borderId="1" xfId="1" applyFont="1" applyFill="1" applyBorder="1"/>
    <xf numFmtId="3" fontId="4" fillId="3" borderId="1" xfId="1" applyNumberFormat="1" applyFont="1" applyFill="1" applyBorder="1"/>
    <xf numFmtId="0" fontId="1" fillId="0" borderId="0" xfId="1" applyBorder="1"/>
    <xf numFmtId="0" fontId="1" fillId="0" borderId="0" xfId="1" applyBorder="1" applyAlignment="1">
      <alignment horizontal="center"/>
    </xf>
    <xf numFmtId="3" fontId="4" fillId="5" borderId="1" xfId="1" applyNumberFormat="1" applyFont="1" applyFill="1" applyBorder="1" applyAlignment="1">
      <alignment horizontal="center"/>
    </xf>
    <xf numFmtId="3" fontId="4" fillId="6" borderId="1" xfId="1" applyNumberFormat="1" applyFont="1" applyFill="1" applyBorder="1" applyAlignment="1">
      <alignment horizontal="center"/>
    </xf>
    <xf numFmtId="0" fontId="3" fillId="6" borderId="1" xfId="1" applyFont="1" applyFill="1" applyBorder="1" applyAlignment="1">
      <alignment horizontal="center"/>
    </xf>
    <xf numFmtId="165" fontId="4" fillId="6" borderId="1" xfId="1" applyNumberFormat="1" applyFont="1" applyFill="1" applyBorder="1" applyAlignment="1">
      <alignment horizontal="center"/>
    </xf>
    <xf numFmtId="3" fontId="4" fillId="7" borderId="1" xfId="1" applyNumberFormat="1" applyFont="1" applyFill="1" applyBorder="1" applyAlignment="1">
      <alignment horizontal="center"/>
    </xf>
    <xf numFmtId="3" fontId="4" fillId="8" borderId="1" xfId="1" applyNumberFormat="1" applyFont="1" applyFill="1" applyBorder="1" applyAlignment="1">
      <alignment horizontal="center"/>
    </xf>
    <xf numFmtId="0" fontId="3" fillId="8" borderId="1" xfId="1" applyFont="1" applyFill="1" applyBorder="1" applyAlignment="1">
      <alignment horizontal="center"/>
    </xf>
    <xf numFmtId="165" fontId="4" fillId="8" borderId="1" xfId="1" applyNumberFormat="1" applyFont="1" applyFill="1" applyBorder="1" applyAlignment="1">
      <alignment horizontal="center"/>
    </xf>
    <xf numFmtId="0" fontId="1" fillId="4" borderId="0" xfId="1" applyFill="1"/>
    <xf numFmtId="0" fontId="1" fillId="9" borderId="0" xfId="1" applyFill="1"/>
    <xf numFmtId="0" fontId="1" fillId="10" borderId="0" xfId="1" applyFill="1"/>
    <xf numFmtId="0" fontId="4" fillId="10" borderId="1" xfId="1" applyFont="1" applyFill="1" applyBorder="1" applyAlignment="1">
      <alignment horizontal="center"/>
    </xf>
    <xf numFmtId="0" fontId="4" fillId="0" borderId="1" xfId="1" applyFont="1" applyBorder="1" applyAlignment="1">
      <alignment horizontal="center"/>
    </xf>
    <xf numFmtId="0" fontId="9" fillId="0" borderId="1" xfId="0" applyFont="1" applyBorder="1" applyAlignment="1">
      <alignment horizontal="center"/>
    </xf>
    <xf numFmtId="0" fontId="0" fillId="0" borderId="1" xfId="0" applyBorder="1" applyAlignment="1">
      <alignment horizontal="center"/>
    </xf>
    <xf numFmtId="164" fontId="4" fillId="10" borderId="7" xfId="1" applyNumberFormat="1" applyFont="1" applyFill="1" applyBorder="1" applyAlignment="1">
      <alignment horizontal="center" vertical="center"/>
    </xf>
    <xf numFmtId="0" fontId="0" fillId="10" borderId="2" xfId="0" applyFill="1" applyBorder="1" applyAlignment="1">
      <alignment horizontal="center" vertical="center"/>
    </xf>
    <xf numFmtId="0" fontId="4" fillId="0" borderId="1" xfId="1" applyFont="1" applyBorder="1" applyAlignment="1">
      <alignment horizontal="center" vertical="center"/>
    </xf>
    <xf numFmtId="0" fontId="3" fillId="0" borderId="4" xfId="1" applyFont="1" applyBorder="1" applyAlignment="1">
      <alignment horizontal="center"/>
    </xf>
    <xf numFmtId="0" fontId="3" fillId="0" borderId="5" xfId="1" applyFont="1" applyBorder="1" applyAlignment="1">
      <alignment horizontal="center"/>
    </xf>
    <xf numFmtId="0" fontId="3" fillId="0" borderId="6" xfId="1" applyFont="1" applyBorder="1" applyAlignment="1">
      <alignment horizontal="center"/>
    </xf>
    <xf numFmtId="0" fontId="4" fillId="0" borderId="4" xfId="1" applyFont="1" applyBorder="1" applyAlignment="1">
      <alignment horizontal="center"/>
    </xf>
    <xf numFmtId="0" fontId="4" fillId="0" borderId="5" xfId="1" applyFont="1" applyBorder="1" applyAlignment="1">
      <alignment horizontal="center"/>
    </xf>
    <xf numFmtId="0" fontId="4" fillId="0" borderId="6" xfId="1" applyFont="1" applyBorder="1" applyAlignment="1">
      <alignment horizontal="center"/>
    </xf>
    <xf numFmtId="0" fontId="4" fillId="0" borderId="1" xfId="1" quotePrefix="1" applyFont="1" applyBorder="1" applyAlignment="1">
      <alignment horizontal="center" vertical="center"/>
    </xf>
    <xf numFmtId="0" fontId="9" fillId="0" borderId="1" xfId="0" applyFont="1" applyBorder="1" applyAlignment="1">
      <alignment horizontal="center" vertical="center"/>
    </xf>
  </cellXfs>
  <cellStyles count="2">
    <cellStyle name="Excel Built-in Normal" xfId="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99FF99"/>
      <rgbColor rgb="00FFFF66"/>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Default">
  <a:themeElements>
    <a:clrScheme name="Custom 1">
      <a:dk1>
        <a:sysClr val="windowText" lastClr="000000"/>
      </a:dk1>
      <a:lt1>
        <a:sysClr val="window" lastClr="FFFFFF"/>
      </a:lt1>
      <a:dk2>
        <a:srgbClr val="1F497D"/>
      </a:dk2>
      <a:lt2>
        <a:srgbClr val="EEECE1"/>
      </a:lt2>
      <a:accent1>
        <a:srgbClr val="CCFFFF"/>
      </a:accent1>
      <a:accent2>
        <a:srgbClr val="00FFFF"/>
      </a:accent2>
      <a:accent3>
        <a:srgbClr val="00FF00"/>
      </a:accent3>
      <a:accent4>
        <a:srgbClr val="FF99CC"/>
      </a:accent4>
      <a:accent5>
        <a:srgbClr val="CC99FF"/>
      </a:accent5>
      <a:accent6>
        <a:srgbClr val="0000FF"/>
      </a:accent6>
      <a:hlink>
        <a:srgbClr val="0000FF"/>
      </a:hlink>
      <a:folHlink>
        <a:srgbClr val="800080"/>
      </a:folHlink>
    </a:clrScheme>
    <a:fontScheme name="Office Classic">
      <a:majorFont>
        <a:latin typeface="Arial"/>
        <a:ea typeface=""/>
        <a:cs typeface=""/>
        <a:font script="Jpan" typeface="ＭＳ Ｐゴシック"/>
        <a:font script="Hang" typeface="돋움"/>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Times New Roman"/>
        <a:ea typeface=""/>
        <a:cs typeface=""/>
        <a:font script="Jpan" typeface="ＭＳ Ｐ明朝"/>
        <a:font script="Hang" typeface="바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42"/>
  <sheetViews>
    <sheetView tabSelected="1" workbookViewId="0">
      <selection activeCell="V26" sqref="V26"/>
    </sheetView>
  </sheetViews>
  <sheetFormatPr defaultColWidth="9.42578125" defaultRowHeight="14.25" x14ac:dyDescent="0.2"/>
  <cols>
    <col min="1" max="1" width="12" style="1" customWidth="1"/>
    <col min="2" max="2" width="3.28515625" style="1" customWidth="1"/>
    <col min="3" max="3" width="6.7109375" style="1" customWidth="1"/>
    <col min="4" max="4" width="3.85546875" style="1" customWidth="1"/>
    <col min="5" max="5" width="4.42578125" style="1" customWidth="1"/>
    <col min="6" max="6" width="5.42578125" style="1" customWidth="1"/>
    <col min="7" max="7" width="10.5703125" style="1" customWidth="1"/>
    <col min="8" max="8" width="7.28515625" style="1" customWidth="1"/>
    <col min="9" max="9" width="10.140625" style="1" customWidth="1"/>
    <col min="10" max="10" width="6.140625" style="1" customWidth="1"/>
    <col min="11" max="11" width="7.7109375" style="1" customWidth="1"/>
    <col min="12" max="12" width="10.85546875" style="2" customWidth="1"/>
    <col min="13" max="13" width="9.42578125" style="2" customWidth="1"/>
    <col min="14" max="14" width="8" style="2" customWidth="1"/>
    <col min="15" max="16" width="7.85546875" style="2" customWidth="1"/>
    <col min="17" max="17" width="9.85546875" style="2" customWidth="1"/>
    <col min="18" max="18" width="6" style="2" customWidth="1"/>
    <col min="19" max="19" width="9.85546875" style="1" customWidth="1"/>
    <col min="20" max="20" width="4.42578125" style="1" customWidth="1"/>
    <col min="21" max="21" width="8" style="1" customWidth="1"/>
    <col min="22" max="23" width="7.85546875" style="1" customWidth="1"/>
    <col min="24" max="24" width="9.85546875" style="1" customWidth="1"/>
    <col min="25" max="25" width="6" style="1" customWidth="1"/>
    <col min="26" max="26" width="7.85546875" style="1" customWidth="1"/>
    <col min="27" max="27" width="9.85546875" style="1" customWidth="1"/>
    <col min="28" max="28" width="6" style="1" customWidth="1"/>
    <col min="29" max="29" width="7.85546875" style="1" customWidth="1"/>
    <col min="30" max="30" width="9.85546875" style="1" customWidth="1"/>
    <col min="31" max="31" width="6" style="1" customWidth="1"/>
    <col min="32" max="33" width="6.140625" style="1" customWidth="1"/>
    <col min="34" max="35" width="6.28515625" style="1" customWidth="1"/>
    <col min="36" max="16384" width="9.42578125" style="1"/>
  </cols>
  <sheetData>
    <row r="1" spans="1:36" x14ac:dyDescent="0.2">
      <c r="A1" s="9"/>
      <c r="B1" s="9"/>
      <c r="C1" s="9"/>
      <c r="D1" s="9"/>
      <c r="E1" s="9"/>
      <c r="F1" s="9"/>
      <c r="G1" s="21" t="s">
        <v>0</v>
      </c>
      <c r="H1" s="25">
        <v>0</v>
      </c>
      <c r="I1" s="9"/>
      <c r="J1" s="9"/>
      <c r="K1" s="9"/>
      <c r="L1" s="9"/>
      <c r="M1" s="9"/>
      <c r="N1" s="9"/>
      <c r="O1" s="9"/>
      <c r="P1" s="10"/>
      <c r="Q1" s="10"/>
      <c r="R1" s="10"/>
      <c r="S1" s="10"/>
      <c r="T1" s="10"/>
      <c r="U1" s="10"/>
      <c r="V1" s="10"/>
      <c r="W1" s="9"/>
      <c r="X1" s="9"/>
      <c r="Y1" s="9"/>
      <c r="Z1" s="9"/>
      <c r="AA1" s="9"/>
      <c r="AB1" s="9"/>
      <c r="AC1" s="9"/>
      <c r="AD1" s="9"/>
      <c r="AE1" s="9"/>
      <c r="AF1" s="9"/>
      <c r="AG1" s="9"/>
      <c r="AH1" s="9"/>
      <c r="AI1" s="9"/>
      <c r="AJ1" s="9"/>
    </row>
    <row r="2" spans="1:36" x14ac:dyDescent="0.2">
      <c r="A2" s="9" t="s">
        <v>1</v>
      </c>
      <c r="B2" s="9"/>
      <c r="C2" s="9"/>
      <c r="D2" s="9"/>
      <c r="E2" s="9"/>
      <c r="F2" s="9"/>
      <c r="G2" s="21" t="s">
        <v>2</v>
      </c>
      <c r="H2" s="12">
        <f>H$1*101.2686</f>
        <v>0</v>
      </c>
      <c r="I2" s="26"/>
      <c r="J2" s="9"/>
      <c r="K2" s="9"/>
      <c r="L2" s="9"/>
      <c r="M2" s="27" t="s">
        <v>3</v>
      </c>
      <c r="N2" s="9"/>
      <c r="O2" s="9"/>
      <c r="P2" s="10"/>
      <c r="Q2" s="27" t="s">
        <v>4</v>
      </c>
      <c r="R2" s="10"/>
      <c r="S2" s="10"/>
      <c r="T2" s="10"/>
      <c r="U2" s="10"/>
      <c r="V2" s="10"/>
      <c r="W2" s="9"/>
      <c r="X2" s="9"/>
      <c r="Y2" s="9"/>
      <c r="Z2" s="9"/>
      <c r="AA2" s="9"/>
      <c r="AB2" s="9"/>
      <c r="AC2" s="9"/>
      <c r="AD2" s="9"/>
      <c r="AE2" s="9"/>
      <c r="AF2" s="9"/>
      <c r="AG2" s="9"/>
      <c r="AH2" s="9"/>
      <c r="AI2" s="9"/>
      <c r="AJ2" s="9"/>
    </row>
    <row r="3" spans="1:36" s="2" customFormat="1" x14ac:dyDescent="0.2">
      <c r="A3" s="10" t="s">
        <v>5</v>
      </c>
      <c r="B3" s="10"/>
      <c r="C3" s="10"/>
      <c r="D3" s="72" t="s">
        <v>53</v>
      </c>
      <c r="E3" s="74"/>
      <c r="F3" s="24" t="s">
        <v>6</v>
      </c>
      <c r="G3" s="16" t="s">
        <v>7</v>
      </c>
      <c r="H3" s="16" t="s">
        <v>8</v>
      </c>
      <c r="I3" s="16" t="s">
        <v>57</v>
      </c>
      <c r="J3" s="10"/>
      <c r="K3" s="10"/>
      <c r="L3" s="10"/>
      <c r="M3" s="17" t="s">
        <v>9</v>
      </c>
      <c r="N3" s="10"/>
      <c r="O3" s="10"/>
      <c r="P3" s="27" t="s">
        <v>10</v>
      </c>
      <c r="Q3" s="28" t="s">
        <v>11</v>
      </c>
      <c r="R3" s="27" t="s">
        <v>12</v>
      </c>
      <c r="S3" s="10"/>
      <c r="T3" s="10"/>
      <c r="U3" s="10"/>
      <c r="V3" s="10"/>
      <c r="W3" s="10"/>
      <c r="X3" s="27" t="s">
        <v>4</v>
      </c>
      <c r="Y3" s="10"/>
      <c r="Z3" s="10"/>
      <c r="AA3" s="27" t="s">
        <v>4</v>
      </c>
      <c r="AB3" s="10"/>
      <c r="AC3" s="10"/>
      <c r="AD3" s="27" t="s">
        <v>4</v>
      </c>
      <c r="AE3" s="10"/>
      <c r="AF3" s="10"/>
      <c r="AG3" s="10"/>
      <c r="AH3" s="10"/>
      <c r="AI3" s="10"/>
      <c r="AJ3" s="10"/>
    </row>
    <row r="4" spans="1:36" s="2" customFormat="1" ht="15" x14ac:dyDescent="0.25">
      <c r="A4" s="10"/>
      <c r="B4" s="10"/>
      <c r="C4" s="10"/>
      <c r="D4" s="16" t="s">
        <v>54</v>
      </c>
      <c r="E4" s="16" t="s">
        <v>55</v>
      </c>
      <c r="F4" s="24" t="s">
        <v>13</v>
      </c>
      <c r="G4" s="16" t="s">
        <v>14</v>
      </c>
      <c r="H4" s="16" t="s">
        <v>14</v>
      </c>
      <c r="I4" s="16" t="s">
        <v>15</v>
      </c>
      <c r="J4" s="16" t="s">
        <v>16</v>
      </c>
      <c r="K4" s="71" t="s">
        <v>60</v>
      </c>
      <c r="L4" s="16" t="s">
        <v>17</v>
      </c>
      <c r="M4" s="16" t="s">
        <v>18</v>
      </c>
      <c r="N4" s="16" t="s">
        <v>19</v>
      </c>
      <c r="O4" s="10"/>
      <c r="P4" s="17" t="s">
        <v>20</v>
      </c>
      <c r="Q4" s="17" t="s">
        <v>21</v>
      </c>
      <c r="R4" s="17" t="s">
        <v>22</v>
      </c>
      <c r="S4" s="16" t="s">
        <v>23</v>
      </c>
      <c r="T4" s="71" t="s">
        <v>24</v>
      </c>
      <c r="U4" s="16" t="s">
        <v>19</v>
      </c>
      <c r="V4" s="10"/>
      <c r="W4" s="27" t="s">
        <v>10</v>
      </c>
      <c r="X4" s="28" t="s">
        <v>11</v>
      </c>
      <c r="Y4" s="27" t="s">
        <v>12</v>
      </c>
      <c r="Z4" s="27" t="s">
        <v>10</v>
      </c>
      <c r="AA4" s="28" t="s">
        <v>11</v>
      </c>
      <c r="AB4" s="27" t="s">
        <v>12</v>
      </c>
      <c r="AC4" s="27" t="s">
        <v>10</v>
      </c>
      <c r="AD4" s="28" t="s">
        <v>11</v>
      </c>
      <c r="AE4" s="27" t="s">
        <v>12</v>
      </c>
      <c r="AF4" s="10"/>
      <c r="AG4" s="72" t="s">
        <v>48</v>
      </c>
      <c r="AH4" s="73"/>
      <c r="AI4" s="73"/>
      <c r="AJ4" s="10"/>
    </row>
    <row r="5" spans="1:36" s="2" customFormat="1" ht="15" x14ac:dyDescent="0.25">
      <c r="A5" s="77" t="s">
        <v>25</v>
      </c>
      <c r="B5" s="46" t="s">
        <v>26</v>
      </c>
      <c r="C5" s="16"/>
      <c r="D5" s="49"/>
      <c r="E5" s="49"/>
      <c r="F5" s="41">
        <v>64</v>
      </c>
      <c r="G5" s="31">
        <f>(88*F5)</f>
        <v>5632</v>
      </c>
      <c r="H5" s="31">
        <f t="shared" ref="H5:H14" si="0">((G5^2-I5^2)^0.5)-H$2</f>
        <v>5615.3125559127793</v>
      </c>
      <c r="I5" s="42">
        <f>M5/(N5/60)</f>
        <v>433.23076923076923</v>
      </c>
      <c r="J5" s="33">
        <f>DEGREES(TAN(M5/L5))</f>
        <v>4.4160813123249243</v>
      </c>
      <c r="K5" s="75">
        <f>J6-J5</f>
        <v>1.6653423962558183</v>
      </c>
      <c r="L5" s="38">
        <v>650</v>
      </c>
      <c r="M5" s="43">
        <v>50</v>
      </c>
      <c r="N5" s="35">
        <f>L5/G5*60</f>
        <v>6.9247159090909092</v>
      </c>
      <c r="O5" s="44"/>
      <c r="P5" s="39">
        <v>735</v>
      </c>
      <c r="Q5" s="39">
        <v>1385</v>
      </c>
      <c r="R5" s="40">
        <f>Q5-P5</f>
        <v>650</v>
      </c>
      <c r="S5" s="39">
        <v>50</v>
      </c>
      <c r="T5" s="50">
        <f>DEGREES(TAN(S5/R5))</f>
        <v>4.4160813123249243</v>
      </c>
      <c r="U5" s="50">
        <f>R5/G5*60</f>
        <v>6.9247159090909092</v>
      </c>
      <c r="V5" s="15"/>
      <c r="W5" s="17" t="s">
        <v>20</v>
      </c>
      <c r="X5" s="17" t="s">
        <v>21</v>
      </c>
      <c r="Y5" s="17" t="s">
        <v>22</v>
      </c>
      <c r="Z5" s="17" t="s">
        <v>20</v>
      </c>
      <c r="AA5" s="17" t="s">
        <v>21</v>
      </c>
      <c r="AB5" s="17" t="s">
        <v>22</v>
      </c>
      <c r="AC5" s="17" t="s">
        <v>20</v>
      </c>
      <c r="AD5" s="17" t="s">
        <v>21</v>
      </c>
      <c r="AE5" s="17" t="s">
        <v>22</v>
      </c>
      <c r="AF5" s="10"/>
      <c r="AG5" s="51" t="s">
        <v>50</v>
      </c>
      <c r="AH5" s="51" t="s">
        <v>51</v>
      </c>
      <c r="AI5" s="52" t="s">
        <v>52</v>
      </c>
      <c r="AJ5" s="10"/>
    </row>
    <row r="6" spans="1:36" ht="15.75" thickBot="1" x14ac:dyDescent="0.3">
      <c r="A6" s="77"/>
      <c r="B6" s="16" t="s">
        <v>27</v>
      </c>
      <c r="C6" s="16"/>
      <c r="D6" s="21"/>
      <c r="E6" s="21"/>
      <c r="F6" s="19">
        <v>72</v>
      </c>
      <c r="G6" s="20">
        <f>(88*F6)</f>
        <v>6336</v>
      </c>
      <c r="H6" s="20">
        <f t="shared" si="0"/>
        <v>6300.4758550446013</v>
      </c>
      <c r="I6" s="6">
        <v>670</v>
      </c>
      <c r="J6" s="13">
        <f>DEGREES(TAN(M6/L6))</f>
        <v>6.0814237085807425</v>
      </c>
      <c r="K6" s="76"/>
      <c r="L6" s="6">
        <v>650</v>
      </c>
      <c r="M6" s="13">
        <f>((L6/G6)*I6)</f>
        <v>68.734217171717177</v>
      </c>
      <c r="N6" s="14">
        <f>L6/G6*60</f>
        <v>6.1553030303030303</v>
      </c>
      <c r="O6" s="15"/>
      <c r="P6" s="61">
        <f>P5*(F6/F5)^2</f>
        <v>930.234375</v>
      </c>
      <c r="Q6" s="61">
        <f>P6+S5*H6/I6</f>
        <v>1400.4191403018358</v>
      </c>
      <c r="R6" s="61">
        <f>Q6-P6</f>
        <v>470.1847653018358</v>
      </c>
      <c r="S6" s="62">
        <v>50</v>
      </c>
      <c r="T6" s="63">
        <f>DEGREES(TAN(S6/R6))</f>
        <v>6.1159719098165697</v>
      </c>
      <c r="U6" s="63">
        <f>R6/G6*60</f>
        <v>4.4525072471764755</v>
      </c>
      <c r="V6" s="10"/>
      <c r="W6" s="78" t="s">
        <v>28</v>
      </c>
      <c r="X6" s="79"/>
      <c r="Y6" s="80"/>
      <c r="Z6" s="78" t="s">
        <v>29</v>
      </c>
      <c r="AA6" s="79"/>
      <c r="AB6" s="80"/>
      <c r="AC6" s="81" t="s">
        <v>30</v>
      </c>
      <c r="AD6" s="82"/>
      <c r="AE6" s="83"/>
      <c r="AF6" s="9"/>
      <c r="AG6" s="53"/>
      <c r="AH6" s="53"/>
      <c r="AI6" s="53"/>
      <c r="AJ6" s="9"/>
    </row>
    <row r="7" spans="1:36" s="2" customFormat="1" ht="15" x14ac:dyDescent="0.25">
      <c r="A7" s="77" t="s">
        <v>31</v>
      </c>
      <c r="B7" s="46" t="s">
        <v>26</v>
      </c>
      <c r="C7" s="16"/>
      <c r="D7" s="41">
        <v>50</v>
      </c>
      <c r="E7" s="41">
        <v>54</v>
      </c>
      <c r="F7" s="30">
        <f>(((E7-D7)/2)+D7)*1.15077944802354</f>
        <v>59.840531297224082</v>
      </c>
      <c r="G7" s="31">
        <f>(88*F7)</f>
        <v>5265.9667541557192</v>
      </c>
      <c r="H7" s="31">
        <f t="shared" si="0"/>
        <v>5248.534348153692</v>
      </c>
      <c r="I7" s="42">
        <f>M7/(N7/60)</f>
        <v>428.12737838664384</v>
      </c>
      <c r="J7" s="33">
        <f>DEGREES(TAN(M7/L7))</f>
        <v>4.6684839413485717</v>
      </c>
      <c r="K7" s="75">
        <f>J8-J7</f>
        <v>1.4024446104115826</v>
      </c>
      <c r="L7" s="38">
        <v>615</v>
      </c>
      <c r="M7" s="43">
        <v>50</v>
      </c>
      <c r="N7" s="35">
        <f>L7/G7*60</f>
        <v>7.007260342249559</v>
      </c>
      <c r="O7" s="44"/>
      <c r="P7" s="45">
        <v>725</v>
      </c>
      <c r="Q7" s="45">
        <v>1340</v>
      </c>
      <c r="R7" s="46">
        <f>Q7-P7</f>
        <v>615</v>
      </c>
      <c r="S7" s="45">
        <v>50</v>
      </c>
      <c r="T7" s="35">
        <f>DEGREES(TAN(S7/R7))</f>
        <v>4.6684839413485717</v>
      </c>
      <c r="U7" s="35">
        <f>R7/G7*60</f>
        <v>7.007260342249559</v>
      </c>
      <c r="V7" s="44"/>
      <c r="W7" s="47">
        <v>695</v>
      </c>
      <c r="X7" s="47">
        <v>1290</v>
      </c>
      <c r="Y7" s="48">
        <f>X7-W7</f>
        <v>595</v>
      </c>
      <c r="Z7" s="47">
        <v>755</v>
      </c>
      <c r="AA7" s="47">
        <v>1390</v>
      </c>
      <c r="AB7" s="48">
        <f>AA7-Z7</f>
        <v>635</v>
      </c>
      <c r="AC7" s="48">
        <f>((Z7-W7)/2)+W7</f>
        <v>725</v>
      </c>
      <c r="AD7" s="48">
        <f>((AA7-X7)/2)+X7</f>
        <v>1340</v>
      </c>
      <c r="AE7" s="48">
        <f>AD7-AC7</f>
        <v>615</v>
      </c>
      <c r="AF7" s="37"/>
      <c r="AG7" s="46"/>
      <c r="AH7" s="46"/>
      <c r="AI7" s="46"/>
      <c r="AJ7" s="10"/>
    </row>
    <row r="8" spans="1:36" ht="15" x14ac:dyDescent="0.25">
      <c r="A8" s="77"/>
      <c r="B8" s="16" t="s">
        <v>27</v>
      </c>
      <c r="C8" s="16"/>
      <c r="D8" s="18">
        <v>67</v>
      </c>
      <c r="E8" s="21"/>
      <c r="F8" s="23">
        <f>D8*1.15077944802354</f>
        <v>77.102223017577188</v>
      </c>
      <c r="G8" s="20">
        <f>(88*F8)</f>
        <v>6784.9956255467923</v>
      </c>
      <c r="H8" s="20">
        <f t="shared" si="0"/>
        <v>6747.0846723743662</v>
      </c>
      <c r="I8" s="12">
        <f>AI8</f>
        <v>716.25</v>
      </c>
      <c r="J8" s="13">
        <f>DEGREES(TAN(M8/L8))</f>
        <v>6.0709285517601543</v>
      </c>
      <c r="K8" s="76"/>
      <c r="L8" s="6">
        <v>615</v>
      </c>
      <c r="M8" s="13">
        <f>((L8/G8)*I8)</f>
        <v>64.921744141065872</v>
      </c>
      <c r="N8" s="14">
        <f>L8/G8*60</f>
        <v>5.4384707133877166</v>
      </c>
      <c r="O8" s="15"/>
      <c r="P8" s="60">
        <f>P7*(F8/F7)^2</f>
        <v>1203.5965236686391</v>
      </c>
      <c r="Q8" s="60">
        <f>P8+S7*H8/I8</f>
        <v>1674.5971988780188</v>
      </c>
      <c r="R8" s="61">
        <f>Q8-P8</f>
        <v>471.00067520937978</v>
      </c>
      <c r="S8" s="62">
        <v>50</v>
      </c>
      <c r="T8" s="63">
        <f>DEGREES(TAN(S8/R8))</f>
        <v>6.1052971845745256</v>
      </c>
      <c r="U8" s="63">
        <f>R8/G8*60</f>
        <v>4.165078663596832</v>
      </c>
      <c r="V8" s="10"/>
      <c r="W8" s="12"/>
      <c r="X8" s="12"/>
      <c r="Y8" s="12"/>
      <c r="Z8" s="12"/>
      <c r="AA8" s="12"/>
      <c r="AB8" s="12"/>
      <c r="AC8" s="12"/>
      <c r="AD8" s="12"/>
      <c r="AE8" s="12"/>
      <c r="AF8" s="9"/>
      <c r="AG8" s="55">
        <v>765</v>
      </c>
      <c r="AH8" s="55">
        <v>700</v>
      </c>
      <c r="AI8" s="12">
        <f>AG8-((AG8-AH8)*0.75)</f>
        <v>716.25</v>
      </c>
      <c r="AJ8" s="9"/>
    </row>
    <row r="9" spans="1:36" ht="15" x14ac:dyDescent="0.25">
      <c r="A9" s="84" t="s">
        <v>56</v>
      </c>
      <c r="B9" s="46" t="s">
        <v>26</v>
      </c>
      <c r="C9" s="77" t="s">
        <v>45</v>
      </c>
      <c r="D9" s="29">
        <v>72</v>
      </c>
      <c r="E9" s="29">
        <v>78</v>
      </c>
      <c r="F9" s="30">
        <f t="shared" ref="F9:F15" si="1">(((E9-D9)/2)+D9)*1.15077944802354</f>
        <v>86.308458601765508</v>
      </c>
      <c r="G9" s="31">
        <f t="shared" ref="G9:G15" si="2">(88*F9)</f>
        <v>7595.1443569553649</v>
      </c>
      <c r="H9" s="31">
        <f t="shared" si="0"/>
        <v>7582.3713492081743</v>
      </c>
      <c r="I9" s="32">
        <f>M9/(N9/60)</f>
        <v>440.29822359161534</v>
      </c>
      <c r="J9" s="33">
        <f>DEGREES(TAN(M9/L9))</f>
        <v>3.3252202537676236</v>
      </c>
      <c r="K9" s="75">
        <f>J10-J9</f>
        <v>1.9738985555160484</v>
      </c>
      <c r="L9" s="32">
        <f>AE9</f>
        <v>862.5</v>
      </c>
      <c r="M9" s="34">
        <v>50</v>
      </c>
      <c r="N9" s="35">
        <f>L9/G9*60</f>
        <v>6.8135637149028216</v>
      </c>
      <c r="O9" s="36"/>
      <c r="P9" s="37"/>
      <c r="Q9" s="37"/>
      <c r="R9" s="37"/>
      <c r="S9" s="37"/>
      <c r="T9" s="37"/>
      <c r="U9" s="37"/>
      <c r="V9" s="37"/>
      <c r="W9" s="38">
        <v>1245</v>
      </c>
      <c r="X9" s="38">
        <v>2065</v>
      </c>
      <c r="Y9" s="32">
        <f>X9-W9</f>
        <v>820</v>
      </c>
      <c r="Z9" s="38">
        <v>1360</v>
      </c>
      <c r="AA9" s="38">
        <v>2265</v>
      </c>
      <c r="AB9" s="32">
        <f>AA9-Z9</f>
        <v>905</v>
      </c>
      <c r="AC9" s="32">
        <f>((Z9-W9)/2)+W9</f>
        <v>1302.5</v>
      </c>
      <c r="AD9" s="32">
        <f>((AA9-X9)/2)+X9</f>
        <v>2165</v>
      </c>
      <c r="AE9" s="32">
        <f>AD9-AC9</f>
        <v>862.5</v>
      </c>
      <c r="AF9" s="36"/>
      <c r="AG9" s="54"/>
      <c r="AH9" s="54"/>
      <c r="AI9" s="54"/>
      <c r="AJ9" s="9"/>
    </row>
    <row r="10" spans="1:36" ht="15" x14ac:dyDescent="0.25">
      <c r="A10" s="85"/>
      <c r="B10" s="16" t="s">
        <v>27</v>
      </c>
      <c r="C10" s="85"/>
      <c r="D10" s="22">
        <v>97</v>
      </c>
      <c r="E10" s="22">
        <v>103</v>
      </c>
      <c r="F10" s="23">
        <f t="shared" si="1"/>
        <v>115.07794480235401</v>
      </c>
      <c r="G10" s="20">
        <f t="shared" si="2"/>
        <v>10126.859142607153</v>
      </c>
      <c r="H10" s="20">
        <f t="shared" si="0"/>
        <v>10084.065454676804</v>
      </c>
      <c r="I10" s="12">
        <f>AI10</f>
        <v>930</v>
      </c>
      <c r="J10" s="13">
        <f>DEGREES(TAN(I10/H10))</f>
        <v>5.2991188092836721</v>
      </c>
      <c r="K10" s="76"/>
      <c r="L10" s="12">
        <f>H10*N10/60</f>
        <v>542.15405670305404</v>
      </c>
      <c r="M10" s="7">
        <v>50</v>
      </c>
      <c r="N10" s="14">
        <f>(M10/I10)*60</f>
        <v>3.2258064516129035</v>
      </c>
      <c r="O10" s="9"/>
      <c r="P10" s="64">
        <f>AC9*(F10/F9)^2</f>
        <v>2315.5555555555552</v>
      </c>
      <c r="Q10" s="64">
        <f>P10+S10*H10/I10</f>
        <v>2857.709612258609</v>
      </c>
      <c r="R10" s="65">
        <f>Q10-P10</f>
        <v>542.15405670305381</v>
      </c>
      <c r="S10" s="66">
        <v>50</v>
      </c>
      <c r="T10" s="67">
        <f>DEGREES(TAN(S10/R10))</f>
        <v>5.2991188092836738</v>
      </c>
      <c r="U10" s="67">
        <f>R10/G10*60</f>
        <v>3.2121749640341695</v>
      </c>
      <c r="V10" s="10"/>
      <c r="W10" s="6"/>
      <c r="X10" s="6"/>
      <c r="Y10" s="12"/>
      <c r="Z10" s="6"/>
      <c r="AA10" s="6"/>
      <c r="AB10" s="12"/>
      <c r="AC10" s="12"/>
      <c r="AD10" s="12"/>
      <c r="AE10" s="12"/>
      <c r="AF10" s="9"/>
      <c r="AG10" s="6">
        <v>1035</v>
      </c>
      <c r="AH10" s="6">
        <v>895</v>
      </c>
      <c r="AI10" s="12">
        <f>AG10-((AG10-AH10)*0.75)</f>
        <v>930</v>
      </c>
      <c r="AJ10" s="9"/>
    </row>
    <row r="11" spans="1:36" ht="15" x14ac:dyDescent="0.25">
      <c r="A11" s="85"/>
      <c r="B11" s="46" t="s">
        <v>26</v>
      </c>
      <c r="C11" s="77" t="s">
        <v>46</v>
      </c>
      <c r="D11" s="29">
        <v>69</v>
      </c>
      <c r="E11" s="29">
        <v>75</v>
      </c>
      <c r="F11" s="30">
        <f t="shared" si="1"/>
        <v>82.856120257694883</v>
      </c>
      <c r="G11" s="31">
        <f t="shared" si="2"/>
        <v>7291.33858267715</v>
      </c>
      <c r="H11" s="31">
        <f t="shared" si="0"/>
        <v>7272.9780111727032</v>
      </c>
      <c r="I11" s="32">
        <f>M11/(N11/60)</f>
        <v>517.11621153738656</v>
      </c>
      <c r="J11" s="33">
        <f>DEGREES(TAN(M11/L11))</f>
        <v>4.0703572862712933</v>
      </c>
      <c r="K11" s="75">
        <f>J12-J11</f>
        <v>2.0226585721491697</v>
      </c>
      <c r="L11" s="32">
        <f>AE11</f>
        <v>705</v>
      </c>
      <c r="M11" s="34">
        <v>50</v>
      </c>
      <c r="N11" s="35">
        <f>L11/G11*60</f>
        <v>5.8014038876889975</v>
      </c>
      <c r="O11" s="36"/>
      <c r="P11" s="37"/>
      <c r="Q11" s="37"/>
      <c r="R11" s="37"/>
      <c r="S11" s="37"/>
      <c r="T11" s="37"/>
      <c r="U11" s="37"/>
      <c r="V11" s="37"/>
      <c r="W11" s="38">
        <v>1035</v>
      </c>
      <c r="X11" s="38">
        <v>1705</v>
      </c>
      <c r="Y11" s="32">
        <f>X11-W11</f>
        <v>670</v>
      </c>
      <c r="Z11" s="38">
        <v>1125</v>
      </c>
      <c r="AA11" s="38">
        <v>1865</v>
      </c>
      <c r="AB11" s="32">
        <f>AA11-Z11</f>
        <v>740</v>
      </c>
      <c r="AC11" s="32">
        <f>((Z11-W11)/2)+W11</f>
        <v>1080</v>
      </c>
      <c r="AD11" s="32">
        <f>((AA11-X11)/2)+X11</f>
        <v>1785</v>
      </c>
      <c r="AE11" s="32">
        <f>AD11-AC11</f>
        <v>705</v>
      </c>
      <c r="AF11" s="36"/>
      <c r="AG11" s="32"/>
      <c r="AH11" s="32"/>
      <c r="AI11" s="32"/>
      <c r="AJ11" s="9"/>
    </row>
    <row r="12" spans="1:36" ht="15" x14ac:dyDescent="0.25">
      <c r="A12" s="85"/>
      <c r="B12" s="16" t="s">
        <v>27</v>
      </c>
      <c r="C12" s="85"/>
      <c r="D12" s="22">
        <v>96</v>
      </c>
      <c r="E12" s="22">
        <v>102</v>
      </c>
      <c r="F12" s="23">
        <f t="shared" si="1"/>
        <v>113.92716535433047</v>
      </c>
      <c r="G12" s="20">
        <f t="shared" si="2"/>
        <v>10025.590551181082</v>
      </c>
      <c r="H12" s="20">
        <f t="shared" si="0"/>
        <v>9969.7944731790431</v>
      </c>
      <c r="I12" s="12">
        <f>AI12</f>
        <v>1056.25</v>
      </c>
      <c r="J12" s="13">
        <f>DEGREES(TAN(I12/H12))</f>
        <v>6.093015858420463</v>
      </c>
      <c r="K12" s="76"/>
      <c r="L12" s="12">
        <f>H12*N12/60</f>
        <v>471.94293364161149</v>
      </c>
      <c r="M12" s="7">
        <v>50</v>
      </c>
      <c r="N12" s="14">
        <f>(M12/I12)*60</f>
        <v>2.8402366863905324</v>
      </c>
      <c r="O12" s="9"/>
      <c r="P12" s="64">
        <f>AC11*(F12/F11)^2</f>
        <v>2041.875</v>
      </c>
      <c r="Q12" s="64">
        <f>P12+S12*H12/I12</f>
        <v>2513.8179336416115</v>
      </c>
      <c r="R12" s="65">
        <f>Q12-P12</f>
        <v>471.94293364161149</v>
      </c>
      <c r="S12" s="66">
        <v>50</v>
      </c>
      <c r="T12" s="67">
        <f>DEGREES(TAN(S12/R12))</f>
        <v>6.093015858420463</v>
      </c>
      <c r="U12" s="67">
        <f>R12/G12*60</f>
        <v>2.824429730492116</v>
      </c>
      <c r="V12" s="10"/>
      <c r="W12" s="6"/>
      <c r="X12" s="6"/>
      <c r="Y12" s="12"/>
      <c r="Z12" s="6"/>
      <c r="AA12" s="6"/>
      <c r="AB12" s="12"/>
      <c r="AC12" s="12"/>
      <c r="AD12" s="12"/>
      <c r="AE12" s="12"/>
      <c r="AF12" s="9"/>
      <c r="AG12" s="6">
        <v>1165</v>
      </c>
      <c r="AH12" s="6">
        <v>1020</v>
      </c>
      <c r="AI12" s="12">
        <f>AG12-((AG12-AH12)*0.75)</f>
        <v>1056.25</v>
      </c>
      <c r="AJ12" s="9"/>
    </row>
    <row r="13" spans="1:36" ht="15" x14ac:dyDescent="0.25">
      <c r="A13" s="85"/>
      <c r="B13" s="46" t="s">
        <v>26</v>
      </c>
      <c r="C13" s="77" t="s">
        <v>47</v>
      </c>
      <c r="D13" s="29">
        <v>66</v>
      </c>
      <c r="E13" s="29">
        <v>72</v>
      </c>
      <c r="F13" s="30">
        <f t="shared" si="1"/>
        <v>79.403781913624258</v>
      </c>
      <c r="G13" s="31">
        <f t="shared" si="2"/>
        <v>6987.5328083989343</v>
      </c>
      <c r="H13" s="31">
        <f t="shared" si="0"/>
        <v>6961.5200131368911</v>
      </c>
      <c r="I13" s="32">
        <f>M13/(N13/60)</f>
        <v>602.37351796542532</v>
      </c>
      <c r="J13" s="33">
        <f>DEGREES(TAN(M13/L13))</f>
        <v>4.95156347969868</v>
      </c>
      <c r="K13" s="75">
        <f>J14-J13</f>
        <v>2.1591466986978523</v>
      </c>
      <c r="L13" s="32">
        <f>AE13</f>
        <v>580</v>
      </c>
      <c r="M13" s="34">
        <v>50</v>
      </c>
      <c r="N13" s="35">
        <f>L13/G13*60</f>
        <v>4.9802986195887051</v>
      </c>
      <c r="O13" s="36"/>
      <c r="P13" s="37"/>
      <c r="Q13" s="37"/>
      <c r="R13" s="37"/>
      <c r="S13" s="37"/>
      <c r="T13" s="37"/>
      <c r="U13" s="37"/>
      <c r="V13" s="37"/>
      <c r="W13" s="38">
        <v>850</v>
      </c>
      <c r="X13" s="38">
        <v>1405</v>
      </c>
      <c r="Y13" s="32">
        <f>X13-W13</f>
        <v>555</v>
      </c>
      <c r="Z13" s="38">
        <v>925</v>
      </c>
      <c r="AA13" s="38">
        <v>1530</v>
      </c>
      <c r="AB13" s="32">
        <f>AA13-Z13</f>
        <v>605</v>
      </c>
      <c r="AC13" s="32">
        <f>((Z13-W13)/2)+W13</f>
        <v>887.5</v>
      </c>
      <c r="AD13" s="32">
        <f>((AA13-X13)/2)+X13</f>
        <v>1467.5</v>
      </c>
      <c r="AE13" s="32">
        <f>AD13-AC13</f>
        <v>580</v>
      </c>
      <c r="AF13" s="36"/>
      <c r="AG13" s="32"/>
      <c r="AH13" s="32"/>
      <c r="AI13" s="32"/>
      <c r="AJ13" s="9"/>
    </row>
    <row r="14" spans="1:36" ht="15" x14ac:dyDescent="0.25">
      <c r="A14" s="85"/>
      <c r="B14" s="16" t="s">
        <v>27</v>
      </c>
      <c r="C14" s="85"/>
      <c r="D14" s="22">
        <v>94</v>
      </c>
      <c r="E14" s="22">
        <v>100</v>
      </c>
      <c r="F14" s="23">
        <f t="shared" si="1"/>
        <v>111.62560645828339</v>
      </c>
      <c r="G14" s="20">
        <f t="shared" si="2"/>
        <v>9823.0533683289377</v>
      </c>
      <c r="H14" s="20">
        <f t="shared" si="0"/>
        <v>9749.0185872496149</v>
      </c>
      <c r="I14" s="12">
        <f>AI14</f>
        <v>1203.75</v>
      </c>
      <c r="J14" s="13">
        <f>DEGREES(TAN(I14/H14))</f>
        <v>7.1107101783965323</v>
      </c>
      <c r="K14" s="76"/>
      <c r="L14" s="12">
        <f>H14*N14/60</f>
        <v>404.94365886810454</v>
      </c>
      <c r="M14" s="7">
        <v>50</v>
      </c>
      <c r="N14" s="14">
        <f>(M14/I14)*60</f>
        <v>2.4922118380062308</v>
      </c>
      <c r="O14" s="9"/>
      <c r="P14" s="64">
        <f>AC13*(F14/F13)^2</f>
        <v>1753.9356227683261</v>
      </c>
      <c r="Q14" s="64">
        <f>P14+S14*H14/I14</f>
        <v>2158.8792816364307</v>
      </c>
      <c r="R14" s="65">
        <f>Q14-P14</f>
        <v>404.94365886810465</v>
      </c>
      <c r="S14" s="66">
        <v>50</v>
      </c>
      <c r="T14" s="67">
        <f>DEGREES(TAN(S14/R14))</f>
        <v>7.1107101783965296</v>
      </c>
      <c r="U14" s="67">
        <f>R14/G14*60</f>
        <v>2.4734284362561225</v>
      </c>
      <c r="V14" s="10"/>
      <c r="W14" s="11"/>
      <c r="X14" s="11"/>
      <c r="Y14" s="11"/>
      <c r="Z14" s="11"/>
      <c r="AA14" s="11"/>
      <c r="AB14" s="11"/>
      <c r="AC14" s="11"/>
      <c r="AD14" s="11"/>
      <c r="AE14" s="11"/>
      <c r="AF14" s="9"/>
      <c r="AG14" s="6">
        <v>1320</v>
      </c>
      <c r="AH14" s="6">
        <v>1165</v>
      </c>
      <c r="AI14" s="12">
        <f>AG14-((AG14-AH14)*0.75)</f>
        <v>1203.75</v>
      </c>
      <c r="AJ14" s="9"/>
    </row>
    <row r="15" spans="1:36" ht="15" x14ac:dyDescent="0.25">
      <c r="A15" s="16" t="s">
        <v>58</v>
      </c>
      <c r="B15" s="46" t="s">
        <v>26</v>
      </c>
      <c r="C15" s="53" t="s">
        <v>59</v>
      </c>
      <c r="D15" s="56">
        <v>70</v>
      </c>
      <c r="E15" s="56">
        <v>78</v>
      </c>
      <c r="F15" s="30">
        <f t="shared" si="1"/>
        <v>85.157679153741967</v>
      </c>
      <c r="G15" s="57">
        <f t="shared" si="2"/>
        <v>7493.8757655292929</v>
      </c>
      <c r="H15" s="31">
        <f>((G15^2-I15^2)^0.5)-(9.5*1.15077944802354*88)</f>
        <v>6527.6597255621964</v>
      </c>
      <c r="I15" s="32">
        <f>M15/(N15/60)</f>
        <v>249.79585885097643</v>
      </c>
      <c r="J15" s="33">
        <f>DEGREES(TAN(M15/L15))</f>
        <v>1.9105669869269606</v>
      </c>
      <c r="K15" s="33"/>
      <c r="L15" s="32">
        <f>R15</f>
        <v>1500</v>
      </c>
      <c r="M15" s="34">
        <v>50</v>
      </c>
      <c r="N15" s="35">
        <f>U15</f>
        <v>12.009806783024951</v>
      </c>
      <c r="O15" s="36"/>
      <c r="P15" s="46">
        <v>1750</v>
      </c>
      <c r="Q15" s="46">
        <v>3250</v>
      </c>
      <c r="R15" s="46">
        <f>Q15-P15</f>
        <v>1500</v>
      </c>
      <c r="S15" s="46">
        <v>50</v>
      </c>
      <c r="T15" s="35">
        <f>DEGREES(TAN(S15/R15))</f>
        <v>1.9105669869269606</v>
      </c>
      <c r="U15" s="35">
        <f>R15/G15*60</f>
        <v>12.009806783024951</v>
      </c>
      <c r="V15" s="10"/>
      <c r="W15" s="11"/>
      <c r="X15" s="11"/>
      <c r="Y15" s="11"/>
      <c r="Z15" s="11"/>
      <c r="AA15" s="11"/>
      <c r="AB15" s="11"/>
      <c r="AC15" s="11"/>
      <c r="AD15" s="11"/>
      <c r="AE15" s="11"/>
      <c r="AF15" s="9"/>
      <c r="AG15" s="9"/>
      <c r="AH15" s="9"/>
      <c r="AI15" s="9"/>
      <c r="AJ15" s="9"/>
    </row>
    <row r="16" spans="1:36" x14ac:dyDescent="0.2">
      <c r="A16" s="9"/>
      <c r="B16" s="9"/>
      <c r="C16" s="9"/>
      <c r="D16" s="9"/>
      <c r="E16" s="9"/>
      <c r="F16" s="9"/>
      <c r="G16" s="9"/>
      <c r="H16" s="9"/>
      <c r="I16" s="9"/>
      <c r="J16" s="9"/>
      <c r="K16" s="9"/>
      <c r="L16" s="9"/>
      <c r="M16" s="9"/>
      <c r="N16" s="10"/>
      <c r="O16" s="10"/>
      <c r="P16" s="10"/>
      <c r="Q16" s="10"/>
      <c r="R16" s="10"/>
      <c r="S16" s="10"/>
      <c r="T16" s="10"/>
      <c r="U16" s="11"/>
      <c r="V16" s="11"/>
      <c r="W16" s="11"/>
      <c r="X16" s="11"/>
      <c r="Y16" s="11"/>
      <c r="Z16" s="11"/>
      <c r="AA16" s="11"/>
      <c r="AB16" s="11"/>
      <c r="AC16" s="11"/>
      <c r="AD16" s="9"/>
      <c r="AE16" s="9"/>
      <c r="AF16" s="9"/>
      <c r="AG16" s="9"/>
      <c r="AH16" s="9"/>
      <c r="AI16" s="9"/>
    </row>
    <row r="17" spans="3:20" x14ac:dyDescent="0.2">
      <c r="C17" s="70"/>
      <c r="D17" s="1" t="s">
        <v>61</v>
      </c>
      <c r="L17" s="1"/>
      <c r="S17" s="2"/>
    </row>
    <row r="18" spans="3:20" x14ac:dyDescent="0.2">
      <c r="C18" s="68"/>
      <c r="D18" s="1" t="s">
        <v>62</v>
      </c>
      <c r="L18" s="1"/>
      <c r="S18" s="2"/>
    </row>
    <row r="19" spans="3:20" x14ac:dyDescent="0.2">
      <c r="C19" s="69"/>
      <c r="D19" s="1" t="s">
        <v>63</v>
      </c>
      <c r="L19" s="1"/>
      <c r="S19" s="2"/>
    </row>
    <row r="20" spans="3:20" x14ac:dyDescent="0.2">
      <c r="C20" s="8" t="s">
        <v>32</v>
      </c>
      <c r="D20" s="1" t="s">
        <v>49</v>
      </c>
      <c r="S20" s="58"/>
      <c r="T20" s="58"/>
    </row>
    <row r="21" spans="3:20" x14ac:dyDescent="0.2">
      <c r="C21" s="4"/>
      <c r="D21" s="1" t="s">
        <v>33</v>
      </c>
      <c r="S21" s="59"/>
      <c r="T21" s="58"/>
    </row>
    <row r="22" spans="3:20" ht="15" x14ac:dyDescent="0.25">
      <c r="C22" s="3" t="s">
        <v>32</v>
      </c>
      <c r="D22" s="1" t="s">
        <v>34</v>
      </c>
      <c r="S22" s="58"/>
      <c r="T22" s="58"/>
    </row>
    <row r="23" spans="3:20" x14ac:dyDescent="0.2">
      <c r="C23" s="2" t="s">
        <v>32</v>
      </c>
      <c r="D23" s="1" t="s">
        <v>35</v>
      </c>
      <c r="S23" s="58"/>
      <c r="T23" s="58"/>
    </row>
    <row r="24" spans="3:20" x14ac:dyDescent="0.2">
      <c r="S24" s="58"/>
      <c r="T24" s="58"/>
    </row>
    <row r="25" spans="3:20" x14ac:dyDescent="0.2">
      <c r="C25" s="1" t="s">
        <v>36</v>
      </c>
      <c r="S25" s="58"/>
      <c r="T25" s="58"/>
    </row>
    <row r="26" spans="3:20" x14ac:dyDescent="0.2">
      <c r="C26" s="1">
        <v>1</v>
      </c>
      <c r="D26" s="1" t="s">
        <v>37</v>
      </c>
      <c r="S26" s="58"/>
      <c r="T26" s="58"/>
    </row>
    <row r="27" spans="3:20" x14ac:dyDescent="0.2">
      <c r="C27" s="1">
        <v>2</v>
      </c>
      <c r="D27" s="1" t="s">
        <v>64</v>
      </c>
      <c r="S27" s="58"/>
      <c r="T27" s="58"/>
    </row>
    <row r="29" spans="3:20" x14ac:dyDescent="0.2">
      <c r="C29" s="1" t="s">
        <v>38</v>
      </c>
    </row>
    <row r="30" spans="3:20" x14ac:dyDescent="0.2">
      <c r="C30" s="1" t="s">
        <v>65</v>
      </c>
    </row>
    <row r="32" spans="3:20" x14ac:dyDescent="0.2">
      <c r="C32" s="1" t="s">
        <v>39</v>
      </c>
    </row>
    <row r="33" spans="3:3" x14ac:dyDescent="0.2">
      <c r="C33" s="1" t="s">
        <v>40</v>
      </c>
    </row>
    <row r="35" spans="3:3" ht="15" x14ac:dyDescent="0.25">
      <c r="C35" s="5" t="s">
        <v>41</v>
      </c>
    </row>
    <row r="37" spans="3:3" x14ac:dyDescent="0.2">
      <c r="C37" s="1" t="s">
        <v>42</v>
      </c>
    </row>
    <row r="38" spans="3:3" x14ac:dyDescent="0.2">
      <c r="C38" s="1" t="s">
        <v>43</v>
      </c>
    </row>
    <row r="40" spans="3:3" x14ac:dyDescent="0.2">
      <c r="C40" s="1" t="s">
        <v>66</v>
      </c>
    </row>
    <row r="42" spans="3:3" x14ac:dyDescent="0.2">
      <c r="C42" s="1" t="s">
        <v>44</v>
      </c>
    </row>
  </sheetData>
  <sheetProtection selectLockedCells="1" selectUnlockedCells="1"/>
  <mergeCells count="16">
    <mergeCell ref="A9:A14"/>
    <mergeCell ref="C9:C10"/>
    <mergeCell ref="C11:C12"/>
    <mergeCell ref="C13:C14"/>
    <mergeCell ref="A5:A6"/>
    <mergeCell ref="W6:Y6"/>
    <mergeCell ref="Z6:AB6"/>
    <mergeCell ref="AC6:AE6"/>
    <mergeCell ref="A7:A8"/>
    <mergeCell ref="AG4:AI4"/>
    <mergeCell ref="D3:E3"/>
    <mergeCell ref="K13:K14"/>
    <mergeCell ref="K11:K12"/>
    <mergeCell ref="K9:K10"/>
    <mergeCell ref="K7:K8"/>
    <mergeCell ref="K5:K6"/>
  </mergeCells>
  <pageMargins left="0.7" right="0.7" top="0.75" bottom="0.75" header="0.51180555555555551" footer="0.51180555555555551"/>
  <pageSetup firstPageNumber="0" orientation="portrait" horizontalDpi="300" verticalDpi="300"/>
  <headerFooter alignWithMargins="0"/>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Runway design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JMW</dc:creator>
  <cp:lastModifiedBy>JMW</cp:lastModifiedBy>
  <dcterms:created xsi:type="dcterms:W3CDTF">2018-02-17T19:38:23Z</dcterms:created>
  <dcterms:modified xsi:type="dcterms:W3CDTF">2018-02-20T19:32:48Z</dcterms:modified>
</cp:coreProperties>
</file>